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500" firstSheet="9" activeTab="10"/>
  </bookViews>
  <sheets>
    <sheet name="FATEC" sheetId="6" r:id="rId1"/>
    <sheet name="ETEC" sheetId="10" r:id="rId2"/>
    <sheet name="AUXILIAR DOCENTE" sheetId="4" r:id="rId3"/>
    <sheet name="ADMINISTRATIVO_1ªFASE" sheetId="16" r:id="rId4"/>
    <sheet name="ADMINISTRATIVO_2ªFASE" sheetId="12" r:id="rId5"/>
    <sheet name="SAÚDE_1ªFASE" sheetId="21" r:id="rId6"/>
    <sheet name="SAÚDE_2ª FASE" sheetId="22" r:id="rId7"/>
    <sheet name="CONFIANÇA_1ªFASE" sheetId="17" r:id="rId8"/>
    <sheet name="CONFIANÇA_2ªFASE" sheetId="13" r:id="rId9"/>
    <sheet name="DENOMINAÇÃO_EPP" sheetId="18" r:id="rId10"/>
    <sheet name="DENOMINAÇÃO_EPC" sheetId="19" r:id="rId11"/>
    <sheet name="EXTINÇÃO" sheetId="20" r:id="rId12"/>
    <sheet name="EXTINÇÃO_CARREIRA" sheetId="23" r:id="rId13"/>
    <sheet name="QUANTITATIVO_EPP" sheetId="24" r:id="rId14"/>
    <sheet name="QUANTITATIVO_EPC" sheetId="25" r:id="rId15"/>
  </sheets>
  <definedNames>
    <definedName name="_xlnm.Print_Area" localSheetId="3">ADMINISTRATIVO_1ªFASE!$A$1:$R$33</definedName>
    <definedName name="_xlnm.Print_Area" localSheetId="4">ADMINISTRATIVO_2ªFASE!$A$1:$R$33</definedName>
    <definedName name="_xlnm.Print_Area" localSheetId="2">'AUXILIAR DOCENTE'!$A$1:$R$13</definedName>
    <definedName name="_xlnm.Print_Area" localSheetId="7">CONFIANÇA_1ªFASE!$A$1:$F$17</definedName>
    <definedName name="_xlnm.Print_Area" localSheetId="8">CONFIANÇA_2ªFASE!$A$1:$F$17</definedName>
    <definedName name="_xlnm.Print_Area" localSheetId="10">DENOMINAÇÃO_EPC!$A$1:$D$33</definedName>
    <definedName name="_xlnm.Print_Area" localSheetId="9">DENOMINAÇÃO_EPP!$A$1:$G$19</definedName>
    <definedName name="_xlnm.Print_Area" localSheetId="1">ETEC!$A$1:$R$15</definedName>
    <definedName name="_xlnm.Print_Area" localSheetId="11">EXTINÇÃO!$A$1:$D$14</definedName>
    <definedName name="_xlnm.Print_Area" localSheetId="12">EXTINÇÃO_CARREIRA!$A$1:$D$18</definedName>
    <definedName name="_xlnm.Print_Area" localSheetId="0">FATEC!$A$1:$R$15</definedName>
    <definedName name="_xlnm.Print_Area" localSheetId="14">QUANTITATIVO_EPC!$A$1:$C$33</definedName>
    <definedName name="_xlnm.Print_Area" localSheetId="13">QUANTITATIVO_EPP!$A$1:$F$17</definedName>
  </definedNames>
  <calcPr calcId="145621"/>
</workbook>
</file>

<file path=xl/calcChain.xml><?xml version="1.0" encoding="utf-8"?>
<calcChain xmlns="http://schemas.openxmlformats.org/spreadsheetml/2006/main">
  <c r="C14" i="23" l="1"/>
  <c r="C6" i="23"/>
  <c r="C16" i="13"/>
  <c r="E11" i="13" s="1"/>
  <c r="C15" i="13"/>
  <c r="C14" i="13"/>
  <c r="C13" i="13"/>
  <c r="C12" i="13"/>
  <c r="C10" i="13"/>
  <c r="C9" i="13"/>
  <c r="C8" i="13"/>
  <c r="C7" i="13"/>
  <c r="C6" i="13"/>
  <c r="C5" i="13"/>
  <c r="C4" i="13"/>
  <c r="E10" i="13"/>
  <c r="E10" i="17"/>
  <c r="E11" i="17"/>
  <c r="C16" i="17"/>
  <c r="C15" i="17"/>
  <c r="C14" i="17"/>
  <c r="C13" i="17"/>
  <c r="C12" i="17"/>
  <c r="C10" i="17"/>
  <c r="C9" i="17"/>
  <c r="C8" i="17"/>
  <c r="C7" i="17"/>
  <c r="C6" i="17"/>
  <c r="C5" i="17"/>
  <c r="C4" i="17"/>
  <c r="C19" i="22"/>
  <c r="C13" i="22"/>
  <c r="C7" i="22"/>
  <c r="C19" i="21"/>
  <c r="C13" i="21"/>
  <c r="C7" i="21"/>
  <c r="C26" i="12" l="1"/>
  <c r="C21" i="12"/>
  <c r="C16" i="12"/>
  <c r="C11" i="12"/>
  <c r="C6" i="12"/>
  <c r="C26" i="16"/>
  <c r="C21" i="16"/>
  <c r="C16" i="16"/>
  <c r="C11" i="16"/>
  <c r="C6" i="16"/>
  <c r="C6" i="4"/>
  <c r="C7" i="10"/>
  <c r="C7" i="6" l="1"/>
  <c r="D14" i="23" l="1"/>
  <c r="E14" i="23" s="1"/>
  <c r="F14" i="23" s="1"/>
  <c r="G14" i="23" s="1"/>
  <c r="H14" i="23" s="1"/>
  <c r="I14" i="23" s="1"/>
  <c r="J14" i="23" s="1"/>
  <c r="K14" i="23" s="1"/>
  <c r="L14" i="23" s="1"/>
  <c r="M14" i="23" s="1"/>
  <c r="N14" i="23" s="1"/>
  <c r="O14" i="23" s="1"/>
  <c r="P14" i="23" s="1"/>
  <c r="Q14" i="23" s="1"/>
  <c r="C5" i="23"/>
  <c r="D5" i="23" s="1"/>
  <c r="E5" i="23" s="1"/>
  <c r="F5" i="23" s="1"/>
  <c r="G5" i="23" s="1"/>
  <c r="H5" i="23" s="1"/>
  <c r="I5" i="23" s="1"/>
  <c r="J5" i="23" s="1"/>
  <c r="K5" i="23" s="1"/>
  <c r="L5" i="23" s="1"/>
  <c r="M5" i="23" s="1"/>
  <c r="N5" i="23" s="1"/>
  <c r="C13" i="23" l="1"/>
  <c r="D13" i="23" s="1"/>
  <c r="E13" i="23" s="1"/>
  <c r="F13" i="23" s="1"/>
  <c r="G13" i="23" s="1"/>
  <c r="H13" i="23" s="1"/>
  <c r="I13" i="23" s="1"/>
  <c r="J13" i="23" s="1"/>
  <c r="K13" i="23" s="1"/>
  <c r="L13" i="23" s="1"/>
  <c r="M13" i="23" s="1"/>
  <c r="N13" i="23" s="1"/>
  <c r="D6" i="23"/>
  <c r="E6" i="23" s="1"/>
  <c r="F6" i="23" s="1"/>
  <c r="G6" i="23" s="1"/>
  <c r="H6" i="23" s="1"/>
  <c r="I6" i="23" s="1"/>
  <c r="J6" i="23" s="1"/>
  <c r="K6" i="23" s="1"/>
  <c r="L6" i="23" s="1"/>
  <c r="M6" i="23" s="1"/>
  <c r="N6" i="23" s="1"/>
  <c r="O6" i="23" s="1"/>
  <c r="P6" i="23" s="1"/>
  <c r="Q6" i="23" s="1"/>
  <c r="D19" i="22" l="1"/>
  <c r="E19" i="22" s="1"/>
  <c r="F19" i="22" s="1"/>
  <c r="G19" i="22" s="1"/>
  <c r="H19" i="22" s="1"/>
  <c r="I19" i="22" s="1"/>
  <c r="J19" i="22" s="1"/>
  <c r="K19" i="22" s="1"/>
  <c r="L19" i="22" s="1"/>
  <c r="M19" i="22" s="1"/>
  <c r="N19" i="22" s="1"/>
  <c r="O19" i="22" s="1"/>
  <c r="P19" i="22" s="1"/>
  <c r="Q19" i="22" s="1"/>
  <c r="D19" i="21"/>
  <c r="E19" i="21" s="1"/>
  <c r="F19" i="21" s="1"/>
  <c r="G19" i="21" s="1"/>
  <c r="H19" i="21" s="1"/>
  <c r="I19" i="21" s="1"/>
  <c r="J19" i="21" s="1"/>
  <c r="K19" i="21" s="1"/>
  <c r="L19" i="21" s="1"/>
  <c r="M19" i="21" s="1"/>
  <c r="N19" i="21" s="1"/>
  <c r="O19" i="21" s="1"/>
  <c r="P19" i="21" s="1"/>
  <c r="Q19" i="21" s="1"/>
  <c r="C12" i="21"/>
  <c r="D12" i="21" s="1"/>
  <c r="E12" i="21" s="1"/>
  <c r="F12" i="21" s="1"/>
  <c r="G12" i="21" s="1"/>
  <c r="H12" i="21" s="1"/>
  <c r="I12" i="21" s="1"/>
  <c r="J12" i="21" s="1"/>
  <c r="K12" i="21" s="1"/>
  <c r="L12" i="21" s="1"/>
  <c r="M12" i="21" s="1"/>
  <c r="N12" i="21" s="1"/>
  <c r="C18" i="22" l="1"/>
  <c r="D18" i="22" s="1"/>
  <c r="E18" i="22" s="1"/>
  <c r="F18" i="22" s="1"/>
  <c r="G18" i="22" s="1"/>
  <c r="H18" i="22" s="1"/>
  <c r="I18" i="22" s="1"/>
  <c r="J18" i="22" s="1"/>
  <c r="K18" i="22" s="1"/>
  <c r="L18" i="22" s="1"/>
  <c r="M18" i="22" s="1"/>
  <c r="N18" i="22" s="1"/>
  <c r="C18" i="21"/>
  <c r="D18" i="21" s="1"/>
  <c r="E18" i="21" s="1"/>
  <c r="F18" i="21" s="1"/>
  <c r="G18" i="21" s="1"/>
  <c r="H18" i="21" s="1"/>
  <c r="I18" i="21" s="1"/>
  <c r="J18" i="21" s="1"/>
  <c r="K18" i="21" s="1"/>
  <c r="L18" i="21" s="1"/>
  <c r="M18" i="21" s="1"/>
  <c r="N18" i="21" s="1"/>
  <c r="D13" i="21"/>
  <c r="E13" i="21" s="1"/>
  <c r="F13" i="21" s="1"/>
  <c r="G13" i="21" s="1"/>
  <c r="H13" i="21" s="1"/>
  <c r="I13" i="21" s="1"/>
  <c r="J13" i="21" s="1"/>
  <c r="K13" i="21" s="1"/>
  <c r="L13" i="21" s="1"/>
  <c r="M13" i="21" s="1"/>
  <c r="N13" i="21" s="1"/>
  <c r="O13" i="21" s="1"/>
  <c r="P13" i="21" s="1"/>
  <c r="Q13" i="21" s="1"/>
  <c r="C12" i="22"/>
  <c r="D12" i="22" s="1"/>
  <c r="E12" i="22" s="1"/>
  <c r="F12" i="22" s="1"/>
  <c r="G12" i="22" s="1"/>
  <c r="H12" i="22" s="1"/>
  <c r="I12" i="22" s="1"/>
  <c r="J12" i="22" s="1"/>
  <c r="K12" i="22" s="1"/>
  <c r="L12" i="22" s="1"/>
  <c r="M12" i="22" s="1"/>
  <c r="N12" i="22" s="1"/>
  <c r="D7" i="22"/>
  <c r="E7" i="22" s="1"/>
  <c r="F7" i="22" s="1"/>
  <c r="G7" i="22" s="1"/>
  <c r="H7" i="22" s="1"/>
  <c r="I7" i="22" s="1"/>
  <c r="J7" i="22" s="1"/>
  <c r="K7" i="22" s="1"/>
  <c r="L7" i="22" s="1"/>
  <c r="M7" i="22" s="1"/>
  <c r="N7" i="22" s="1"/>
  <c r="O7" i="22" s="1"/>
  <c r="P7" i="22" s="1"/>
  <c r="Q7" i="22" s="1"/>
  <c r="D7" i="21"/>
  <c r="E7" i="21" s="1"/>
  <c r="F7" i="21" s="1"/>
  <c r="G7" i="21" s="1"/>
  <c r="H7" i="21" s="1"/>
  <c r="I7" i="21" s="1"/>
  <c r="J7" i="21" s="1"/>
  <c r="K7" i="21" s="1"/>
  <c r="L7" i="21" s="1"/>
  <c r="M7" i="21" s="1"/>
  <c r="N7" i="21" s="1"/>
  <c r="O7" i="21" s="1"/>
  <c r="P7" i="21" s="1"/>
  <c r="Q7" i="21" s="1"/>
  <c r="C6" i="22" l="1"/>
  <c r="D6" i="22" s="1"/>
  <c r="E6" i="22" s="1"/>
  <c r="F6" i="22" s="1"/>
  <c r="G6" i="22" s="1"/>
  <c r="H6" i="22" s="1"/>
  <c r="I6" i="22" s="1"/>
  <c r="J6" i="22" s="1"/>
  <c r="K6" i="22" s="1"/>
  <c r="L6" i="22" s="1"/>
  <c r="M6" i="22" s="1"/>
  <c r="N6" i="22" s="1"/>
  <c r="D13" i="22"/>
  <c r="E13" i="22" s="1"/>
  <c r="F13" i="22" s="1"/>
  <c r="G13" i="22" s="1"/>
  <c r="H13" i="22" s="1"/>
  <c r="I13" i="22" s="1"/>
  <c r="J13" i="22" s="1"/>
  <c r="K13" i="22" s="1"/>
  <c r="L13" i="22" s="1"/>
  <c r="M13" i="22" s="1"/>
  <c r="N13" i="22" s="1"/>
  <c r="O13" i="22" s="1"/>
  <c r="P13" i="22" s="1"/>
  <c r="Q13" i="22" s="1"/>
  <c r="C6" i="21"/>
  <c r="D6" i="21" s="1"/>
  <c r="E6" i="21" s="1"/>
  <c r="F6" i="21" s="1"/>
  <c r="G6" i="21" s="1"/>
  <c r="H6" i="21" s="1"/>
  <c r="I6" i="21" s="1"/>
  <c r="J6" i="21" s="1"/>
  <c r="K6" i="21" s="1"/>
  <c r="L6" i="21" s="1"/>
  <c r="M6" i="21" s="1"/>
  <c r="N6" i="21" s="1"/>
  <c r="E16" i="17" l="1"/>
  <c r="E4" i="17"/>
  <c r="E5" i="17"/>
  <c r="E6" i="17"/>
  <c r="E7" i="17"/>
  <c r="E8" i="17"/>
  <c r="E9" i="17"/>
  <c r="E12" i="17"/>
  <c r="E13" i="17"/>
  <c r="E14" i="17"/>
  <c r="E15" i="17"/>
  <c r="C10" i="16" l="1"/>
  <c r="D10" i="16" s="1"/>
  <c r="E10" i="16" s="1"/>
  <c r="F10" i="16" s="1"/>
  <c r="G10" i="16" s="1"/>
  <c r="H10" i="16" s="1"/>
  <c r="I10" i="16" s="1"/>
  <c r="J10" i="16" s="1"/>
  <c r="K10" i="16" s="1"/>
  <c r="L10" i="16" s="1"/>
  <c r="M10" i="16" s="1"/>
  <c r="N10" i="16" s="1"/>
  <c r="D6" i="16"/>
  <c r="E6" i="16" s="1"/>
  <c r="F6" i="16" s="1"/>
  <c r="G6" i="16" s="1"/>
  <c r="H6" i="16" s="1"/>
  <c r="I6" i="16" s="1"/>
  <c r="J6" i="16" s="1"/>
  <c r="K6" i="16" s="1"/>
  <c r="L6" i="16" s="1"/>
  <c r="M6" i="16" s="1"/>
  <c r="N6" i="16" s="1"/>
  <c r="O6" i="16" s="1"/>
  <c r="P6" i="16" s="1"/>
  <c r="Q6" i="16" s="1"/>
  <c r="D26" i="16"/>
  <c r="E26" i="16" s="1"/>
  <c r="F26" i="16" s="1"/>
  <c r="G26" i="16" s="1"/>
  <c r="H26" i="16" s="1"/>
  <c r="I26" i="16" s="1"/>
  <c r="J26" i="16" s="1"/>
  <c r="K26" i="16" s="1"/>
  <c r="L26" i="16" s="1"/>
  <c r="M26" i="16" s="1"/>
  <c r="N26" i="16" s="1"/>
  <c r="O26" i="16" s="1"/>
  <c r="P26" i="16" s="1"/>
  <c r="Q26" i="16" s="1"/>
  <c r="D21" i="16"/>
  <c r="E21" i="16" s="1"/>
  <c r="F21" i="16" s="1"/>
  <c r="G21" i="16" s="1"/>
  <c r="H21" i="16" s="1"/>
  <c r="I21" i="16" s="1"/>
  <c r="J21" i="16" s="1"/>
  <c r="K21" i="16" s="1"/>
  <c r="L21" i="16" s="1"/>
  <c r="M21" i="16" s="1"/>
  <c r="N21" i="16" s="1"/>
  <c r="O21" i="16" s="1"/>
  <c r="P21" i="16" s="1"/>
  <c r="Q21" i="16" s="1"/>
  <c r="D16" i="16"/>
  <c r="E16" i="16" s="1"/>
  <c r="F16" i="16" s="1"/>
  <c r="G16" i="16" s="1"/>
  <c r="H16" i="16" s="1"/>
  <c r="I16" i="16" s="1"/>
  <c r="J16" i="16" s="1"/>
  <c r="K16" i="16" s="1"/>
  <c r="L16" i="16" s="1"/>
  <c r="M16" i="16" s="1"/>
  <c r="N16" i="16" s="1"/>
  <c r="O16" i="16" s="1"/>
  <c r="P16" i="16" s="1"/>
  <c r="Q16" i="16" s="1"/>
  <c r="C15" i="16" l="1"/>
  <c r="D15" i="16" s="1"/>
  <c r="E15" i="16" s="1"/>
  <c r="F15" i="16" s="1"/>
  <c r="G15" i="16" s="1"/>
  <c r="H15" i="16" s="1"/>
  <c r="I15" i="16" s="1"/>
  <c r="J15" i="16" s="1"/>
  <c r="K15" i="16" s="1"/>
  <c r="L15" i="16" s="1"/>
  <c r="M15" i="16" s="1"/>
  <c r="N15" i="16" s="1"/>
  <c r="C5" i="16"/>
  <c r="D5" i="16" s="1"/>
  <c r="E5" i="16" s="1"/>
  <c r="F5" i="16" s="1"/>
  <c r="G5" i="16" s="1"/>
  <c r="H5" i="16" s="1"/>
  <c r="I5" i="16" s="1"/>
  <c r="J5" i="16" s="1"/>
  <c r="K5" i="16" s="1"/>
  <c r="L5" i="16" s="1"/>
  <c r="M5" i="16" s="1"/>
  <c r="N5" i="16" s="1"/>
  <c r="D11" i="16"/>
  <c r="E11" i="16" s="1"/>
  <c r="F11" i="16" s="1"/>
  <c r="G11" i="16" s="1"/>
  <c r="H11" i="16" s="1"/>
  <c r="I11" i="16" s="1"/>
  <c r="J11" i="16" s="1"/>
  <c r="K11" i="16" s="1"/>
  <c r="L11" i="16" s="1"/>
  <c r="M11" i="16" s="1"/>
  <c r="N11" i="16" s="1"/>
  <c r="O11" i="16" s="1"/>
  <c r="P11" i="16" s="1"/>
  <c r="Q11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E5" i="13" l="1"/>
  <c r="E13" i="13" l="1"/>
  <c r="E6" i="13"/>
  <c r="E9" i="13"/>
  <c r="E14" i="13"/>
  <c r="E7" i="13"/>
  <c r="E15" i="13"/>
  <c r="E8" i="13"/>
  <c r="E12" i="13"/>
  <c r="E16" i="13"/>
  <c r="E4" i="13"/>
  <c r="C5" i="4" l="1"/>
  <c r="D5" i="4" s="1"/>
  <c r="D6" i="4" l="1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Q6" i="4" s="1"/>
  <c r="D6" i="12" l="1"/>
  <c r="E6" i="12" s="1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C15" i="12"/>
  <c r="D15" i="12" s="1"/>
  <c r="E15" i="12" s="1"/>
  <c r="F15" i="12" s="1"/>
  <c r="G15" i="12" s="1"/>
  <c r="H15" i="12" s="1"/>
  <c r="C20" i="12"/>
  <c r="D20" i="12" s="1"/>
  <c r="D26" i="12"/>
  <c r="E26" i="12" s="1"/>
  <c r="F26" i="12" s="1"/>
  <c r="G26" i="12" s="1"/>
  <c r="H26" i="12" s="1"/>
  <c r="I26" i="12" s="1"/>
  <c r="J26" i="12" s="1"/>
  <c r="K26" i="12" s="1"/>
  <c r="L26" i="12" s="1"/>
  <c r="M26" i="12" s="1"/>
  <c r="N26" i="12" s="1"/>
  <c r="O26" i="12" s="1"/>
  <c r="P26" i="12" s="1"/>
  <c r="Q26" i="12" s="1"/>
  <c r="D11" i="12"/>
  <c r="E11" i="12" s="1"/>
  <c r="F11" i="12" s="1"/>
  <c r="G11" i="12" s="1"/>
  <c r="H11" i="12" s="1"/>
  <c r="I11" i="12" s="1"/>
  <c r="J11" i="12" s="1"/>
  <c r="K11" i="12" s="1"/>
  <c r="L11" i="12" s="1"/>
  <c r="M11" i="12" s="1"/>
  <c r="N11" i="12" s="1"/>
  <c r="O11" i="12" s="1"/>
  <c r="P11" i="12" s="1"/>
  <c r="Q11" i="12" s="1"/>
  <c r="C10" i="12"/>
  <c r="D10" i="12" s="1"/>
  <c r="D16" i="12" l="1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C5" i="12"/>
  <c r="D5" i="12" s="1"/>
  <c r="E5" i="12" s="1"/>
  <c r="F5" i="12" s="1"/>
  <c r="G5" i="12" s="1"/>
  <c r="H5" i="12" s="1"/>
  <c r="I5" i="12" s="1"/>
  <c r="J5" i="12" s="1"/>
  <c r="K5" i="12" s="1"/>
  <c r="L5" i="12" s="1"/>
  <c r="M5" i="12" s="1"/>
  <c r="N5" i="12" s="1"/>
  <c r="D21" i="12"/>
  <c r="E21" i="12" s="1"/>
  <c r="F21" i="12" s="1"/>
  <c r="G21" i="12" s="1"/>
  <c r="H21" i="12" s="1"/>
  <c r="I21" i="12" s="1"/>
  <c r="J21" i="12" s="1"/>
  <c r="K21" i="12" s="1"/>
  <c r="L21" i="12" s="1"/>
  <c r="M21" i="12" s="1"/>
  <c r="N21" i="12" s="1"/>
  <c r="O21" i="12" s="1"/>
  <c r="P21" i="12" s="1"/>
  <c r="Q21" i="12" s="1"/>
  <c r="E20" i="12"/>
  <c r="F20" i="12" s="1"/>
  <c r="G20" i="12" s="1"/>
  <c r="I15" i="12"/>
  <c r="J15" i="12" s="1"/>
  <c r="K15" i="12" s="1"/>
  <c r="L15" i="12" s="1"/>
  <c r="M15" i="12" s="1"/>
  <c r="N15" i="12" s="1"/>
  <c r="E10" i="12"/>
  <c r="F10" i="12" s="1"/>
  <c r="G10" i="12" s="1"/>
  <c r="H20" i="12" l="1"/>
  <c r="I20" i="12" s="1"/>
  <c r="J20" i="12" s="1"/>
  <c r="K20" i="12" s="1"/>
  <c r="L20" i="12" s="1"/>
  <c r="M20" i="12" s="1"/>
  <c r="N20" i="12" s="1"/>
  <c r="H10" i="12"/>
  <c r="I10" i="12" s="1"/>
  <c r="J10" i="12" s="1"/>
  <c r="K10" i="12" s="1"/>
  <c r="L10" i="12" s="1"/>
  <c r="M10" i="12" s="1"/>
  <c r="N10" i="12" s="1"/>
  <c r="C6" i="6" l="1"/>
  <c r="D6" i="6" s="1"/>
  <c r="C5" i="6" l="1"/>
  <c r="C6" i="10"/>
  <c r="D6" i="10" s="1"/>
  <c r="E6" i="10" s="1"/>
  <c r="F6" i="10" s="1"/>
  <c r="G6" i="10" s="1"/>
  <c r="H6" i="10" s="1"/>
  <c r="I6" i="10" s="1"/>
  <c r="J6" i="10" s="1"/>
  <c r="K6" i="10" s="1"/>
  <c r="L6" i="10" s="1"/>
  <c r="M6" i="10" s="1"/>
  <c r="N6" i="10" s="1"/>
  <c r="D7" i="10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C5" i="10" l="1"/>
  <c r="D5" i="10" s="1"/>
  <c r="E5" i="10"/>
  <c r="F5" i="10" s="1"/>
  <c r="G5" i="10" s="1"/>
  <c r="H5" i="10" s="1"/>
  <c r="I5" i="10" s="1"/>
  <c r="J5" i="10" s="1"/>
  <c r="K5" i="10" s="1"/>
  <c r="E6" i="6" l="1"/>
  <c r="F6" i="6" s="1"/>
  <c r="G6" i="6" s="1"/>
  <c r="H6" i="6" s="1"/>
  <c r="I6" i="6" s="1"/>
  <c r="J6" i="6" s="1"/>
  <c r="K6" i="6" s="1"/>
  <c r="L6" i="6" s="1"/>
  <c r="M6" i="6" s="1"/>
  <c r="N6" i="6" s="1"/>
  <c r="D7" i="6"/>
  <c r="E7" i="6" s="1"/>
  <c r="F7" i="6" s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D5" i="6" l="1"/>
  <c r="E5" i="6" l="1"/>
  <c r="F5" i="6" s="1"/>
  <c r="G5" i="6" s="1"/>
  <c r="H5" i="6" s="1"/>
  <c r="I5" i="6" s="1"/>
  <c r="J5" i="6" s="1"/>
  <c r="K5" i="6" s="1"/>
  <c r="E5" i="4" l="1"/>
  <c r="F5" i="4" s="1"/>
  <c r="G5" i="4" s="1"/>
  <c r="H5" i="4" s="1"/>
  <c r="I5" i="4" s="1"/>
  <c r="J5" i="4" s="1"/>
  <c r="K5" i="4" s="1"/>
  <c r="L5" i="4" s="1"/>
  <c r="M5" i="4" s="1"/>
  <c r="N5" i="4" s="1"/>
  <c r="O5" i="4" l="1"/>
</calcChain>
</file>

<file path=xl/sharedStrings.xml><?xml version="1.0" encoding="utf-8"?>
<sst xmlns="http://schemas.openxmlformats.org/spreadsheetml/2006/main" count="946" uniqueCount="182">
  <si>
    <t>ETEC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</si>
  <si>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</si>
  <si>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</si>
  <si>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</si>
  <si>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</si>
  <si>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</si>
  <si>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</si>
  <si>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</si>
  <si>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</si>
  <si>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</si>
  <si>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</si>
  <si>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</si>
  <si>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</si>
  <si>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</si>
  <si>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</si>
  <si>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</si>
  <si>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III</t>
  </si>
  <si>
    <t>II</t>
  </si>
  <si>
    <t>FATEC</t>
  </si>
  <si>
    <t>Fator reajuste por Classe</t>
  </si>
  <si>
    <t>I para II</t>
  </si>
  <si>
    <t>II para III</t>
  </si>
  <si>
    <t>Fator reajuste por grau</t>
  </si>
  <si>
    <t>Entre todas as letras</t>
  </si>
  <si>
    <t>Fator reajuste por Grau</t>
  </si>
  <si>
    <t>Fator reajuste por Nível</t>
  </si>
  <si>
    <t>(*) Considerando o intersticio de 02 anos entre os Graus</t>
  </si>
  <si>
    <t>12 anos</t>
  </si>
  <si>
    <t>06 anos</t>
  </si>
  <si>
    <t>03 a 04</t>
  </si>
  <si>
    <t>0 a 2</t>
  </si>
  <si>
    <t>05 a 06</t>
  </si>
  <si>
    <t>07 a 08</t>
  </si>
  <si>
    <t>09 a 10</t>
  </si>
  <si>
    <t>11 a 12</t>
  </si>
  <si>
    <t>13 a 14</t>
  </si>
  <si>
    <t>15 a 16</t>
  </si>
  <si>
    <t>17 a 18</t>
  </si>
  <si>
    <t>19 a 20</t>
  </si>
  <si>
    <t>21 a 22</t>
  </si>
  <si>
    <t>23 a 24</t>
  </si>
  <si>
    <t>25 a 26</t>
  </si>
  <si>
    <t>27 a 28</t>
  </si>
  <si>
    <t>29 a 30</t>
  </si>
  <si>
    <t>6 anos</t>
  </si>
  <si>
    <t>(*) Considerando o interstício de 02 anos entre os Graus</t>
  </si>
  <si>
    <t>Especialista em Planejamento, Obras e Gestão Escolar</t>
  </si>
  <si>
    <t>SITUAÇÃO ANTIGA</t>
  </si>
  <si>
    <t>SITUAÇÃO NOVA</t>
  </si>
  <si>
    <t>NÍVEL</t>
  </si>
  <si>
    <t>Professor Assistente</t>
  </si>
  <si>
    <t>Docente das Faculdades de Tecnologia</t>
  </si>
  <si>
    <t>Professor Associado I e II</t>
  </si>
  <si>
    <t>Docente de Escola Técnica</t>
  </si>
  <si>
    <t>Auxiliar Docente</t>
  </si>
  <si>
    <t>Auxiliar Administrativo, Técnico Administrativo e Técnico Especializado</t>
  </si>
  <si>
    <t xml:space="preserve">F </t>
  </si>
  <si>
    <t>Agente de Segurança Interna</t>
  </si>
  <si>
    <t xml:space="preserve"> Agente de Transporte</t>
  </si>
  <si>
    <t>Auxiliar de Serviço operacional</t>
  </si>
  <si>
    <t xml:space="preserve"> Oficial de Serviço Operacional</t>
  </si>
  <si>
    <t>Encarregado de Setor Administrativo</t>
  </si>
  <si>
    <t>Operador de Máquinas Agrícolas</t>
  </si>
  <si>
    <t>Assistente Administrativo</t>
  </si>
  <si>
    <t>EPC 1</t>
  </si>
  <si>
    <t>Assistente Administrativo de Gabinete</t>
  </si>
  <si>
    <t>EPC 2</t>
  </si>
  <si>
    <t>Chefe de Seção Administrativa</t>
  </si>
  <si>
    <t>Supervisor de Gestão Rural</t>
  </si>
  <si>
    <t>Encarregado de Setor Técnico Administrativo</t>
  </si>
  <si>
    <t>Assistente Técnico</t>
  </si>
  <si>
    <t>Chefe de Seção Técnica Administrativa</t>
  </si>
  <si>
    <t>EPC 3</t>
  </si>
  <si>
    <t>Assistente Técnico Administrativo I</t>
  </si>
  <si>
    <t>Assistente Técnico Administrativo II</t>
  </si>
  <si>
    <t>EPC 4</t>
  </si>
  <si>
    <t>Assistente Técnico da Superintendência</t>
  </si>
  <si>
    <t xml:space="preserve">Diretor de Serviço </t>
  </si>
  <si>
    <t>Diretor Pedagógico</t>
  </si>
  <si>
    <t xml:space="preserve">Diretor de Divisão </t>
  </si>
  <si>
    <t>EPC 5</t>
  </si>
  <si>
    <t>Assistente Técnico Administrativo III</t>
  </si>
  <si>
    <t>Assistente de Planejamento Estratégico</t>
  </si>
  <si>
    <t>EPC 6</t>
  </si>
  <si>
    <t>Diretor de Departamento</t>
  </si>
  <si>
    <t>Diretor de Escola Técnica - ETEC</t>
  </si>
  <si>
    <t>EPC 7</t>
  </si>
  <si>
    <t>Vice-Diretor de Faculdade - FATEC</t>
  </si>
  <si>
    <t>Diretor de Faculdade - FATEC</t>
  </si>
  <si>
    <t>EPC 8</t>
  </si>
  <si>
    <t>Assessor Técnico da Superintendência</t>
  </si>
  <si>
    <t>EPC 9</t>
  </si>
  <si>
    <t>Assessor Técnico Chefe</t>
  </si>
  <si>
    <t>EPC 10</t>
  </si>
  <si>
    <t>Coordenador Técnico</t>
  </si>
  <si>
    <t>Chefe de Gabinete da Superintendência</t>
  </si>
  <si>
    <t>Vice-Diretor Superintendente</t>
  </si>
  <si>
    <t>EPC 11</t>
  </si>
  <si>
    <t>Diretor Superintendente</t>
  </si>
  <si>
    <t>EPC 12</t>
  </si>
  <si>
    <t>Assessor Administrativo de Gabinete</t>
  </si>
  <si>
    <t>Percentual Gratificação</t>
  </si>
  <si>
    <t>Valor da Remuneração com 20%</t>
  </si>
  <si>
    <t>Gratificação com 20%</t>
  </si>
  <si>
    <t>Analista Técnico Administrativo (BIBLIOTECÁRIO)</t>
  </si>
  <si>
    <t>Professor Pleno I e II</t>
  </si>
  <si>
    <t>Professor I a VI</t>
  </si>
  <si>
    <t>Auxiliar Docente I a V</t>
  </si>
  <si>
    <t>I e II</t>
  </si>
  <si>
    <t>I a III</t>
  </si>
  <si>
    <t>ANEXO I</t>
  </si>
  <si>
    <t xml:space="preserve">TABELA CARREIRA DOCENTES - FATEC </t>
  </si>
  <si>
    <t>(*) Considerando o interstício de 06 anos e Formação Acadêmica entre os Níveis</t>
  </si>
  <si>
    <t>Anos</t>
  </si>
  <si>
    <t>TABELA CARREIRA DOCENTES -  ETEC</t>
  </si>
  <si>
    <t>ANEXO II</t>
  </si>
  <si>
    <t xml:space="preserve">Entre todas as letras </t>
  </si>
  <si>
    <t xml:space="preserve">TABELA CARREIRA AUXILIAR DOCENTE (JORNADA INTEGRAL) </t>
  </si>
  <si>
    <t>AUXILIAR DOCENTE</t>
  </si>
  <si>
    <t>ANEXO III</t>
  </si>
  <si>
    <t>ANEXO IV - A</t>
  </si>
  <si>
    <t>TABELA NOVA DENOMINAÇÃO DOS EMPREGOS PÚBLICOS PERMANENTES - ADMINISTRATIVOS</t>
  </si>
  <si>
    <t>Analista de Suporte Escolar ( Bibliotecário)</t>
  </si>
  <si>
    <t>Analista de Suporte Escolar</t>
  </si>
  <si>
    <t>ANEXO IV - B</t>
  </si>
  <si>
    <t>TABELA CARREIRA EMPREGOS PÚBLICOS PERMANENTES - ADMINISTRATIVOS (JORNADA INTEGRAL) - 2ª FASE IMPLANTAÇÃO DO PLANO</t>
  </si>
  <si>
    <t>TABELA CARREIRA EMPREGOS PÚBLICOS PERMANENTES - ADMINISTRATIVOS (JORNADA INTEGRAL)- 1ª FASE DE IMPLANTAÇÃO DO PLANO</t>
  </si>
  <si>
    <t xml:space="preserve">DENOMINAÇÃO </t>
  </si>
  <si>
    <t>ANEXO V - A</t>
  </si>
  <si>
    <t>TABELA CARREIRA EMPREGOS PÚBLICOS CONFIANÇA - 1ª FASE IMPLANTAÇÃO DO PLANO</t>
  </si>
  <si>
    <t>DENOMINAÇÃO</t>
  </si>
  <si>
    <t>TABELA CARREIRA EMPREGOS PÚBLICOS CONFIANÇA - 2ª FASE IMPLANTAÇÃO DO PLANO</t>
  </si>
  <si>
    <t>Trabalhador Braçal e Reparador Geral</t>
  </si>
  <si>
    <t>TABELA NOVA DENOMINAÇÃO DOS EMPREGOS PÚBLICOS EM CONFIANÇA</t>
  </si>
  <si>
    <t>Procurador de Autarquia Assistente</t>
  </si>
  <si>
    <t>Procurador de Autarquia Nível I</t>
  </si>
  <si>
    <t>TABELA EMPREGOS PÚBLICOS PERMANENTES EM EXTINÇÃO</t>
  </si>
  <si>
    <t>TABELA EMPREGOS PÚBLICOS EM CONFIANÇA EM EXTINÇÃO</t>
  </si>
  <si>
    <t>Analista Técnico Especializado de Saúde</t>
  </si>
  <si>
    <t>Analista Técnico de Saúde</t>
  </si>
  <si>
    <t>Técnico de Saúde</t>
  </si>
  <si>
    <t>TABELA CARREIRA EMPREGOS PÚBLICOS PERMANENTES - ÁREA SAÚDE - 1ª FASE DE IMPLANTAÇÃO DO PLANO</t>
  </si>
  <si>
    <t>TABELA CARREIRA EMPREGOS PÚBLICOS PERMANENTES - ÁREA SAÚDE  - 2ª FASE DE IMPLANTAÇÃO DO PLANO</t>
  </si>
  <si>
    <t>ANEXO VI - A</t>
  </si>
  <si>
    <t>ANEXO VI - B</t>
  </si>
  <si>
    <t>ANEXO VII</t>
  </si>
  <si>
    <t>ANEXO VIII</t>
  </si>
  <si>
    <t>ANEXO IX</t>
  </si>
  <si>
    <t>Índice de Reajuste</t>
  </si>
  <si>
    <t>Analista Técnico Especializado Saúde</t>
  </si>
  <si>
    <t>Analista Técnico Saúde</t>
  </si>
  <si>
    <t>Técnico Saúde</t>
  </si>
  <si>
    <t>Analista de Suporte Escolar (Bibliotecário)</t>
  </si>
  <si>
    <t>Analista Técnico Administrativo e Analista Técnico Educacional</t>
  </si>
  <si>
    <t>ANEXO X</t>
  </si>
  <si>
    <t>Auxiliar de Apoio Escolar</t>
  </si>
  <si>
    <t>06 Anos</t>
  </si>
  <si>
    <t>TABELA EMPREGOS PÚBLICOS PERMANENTES EM EXTINÇÃO - 1ª FASE DE IMPLANTAÇÃO DO PLANO</t>
  </si>
  <si>
    <t>TABELA EMPREGOS PÚBLICOS PERMANENTES EM EXTINÇÃO - 2ª FASE DE IMPLANTAÇÃO DO PLANO</t>
  </si>
  <si>
    <t>Operacional de Suporte Escolar</t>
  </si>
  <si>
    <t>Analista de Gestão Escolar</t>
  </si>
  <si>
    <t>Especialista em Planejamento Educacional, Especialista em Planejamento de Obras, Especialista em Planejamento e Gestão e Analista de Suporte e Sistemas</t>
  </si>
  <si>
    <t>Técnico de Gestão Escolar</t>
  </si>
  <si>
    <t>Valor da Remuneração com 10%</t>
  </si>
  <si>
    <t>Gratificação com 10%</t>
  </si>
  <si>
    <t>CODIGO</t>
  </si>
  <si>
    <t>CÓDIGO</t>
  </si>
  <si>
    <t>Encarregado de Setor Administrativo ou Assistente Administrativo</t>
  </si>
  <si>
    <t>Chefe de Seção Administrativa, Supervisor de Gestão Rural, Encarregado de Setor Técnico Administrativo, Assistente Administrativo de Gabinete ou Assistente Técnico</t>
  </si>
  <si>
    <t>Chefe de Seção Técnica Administrativa ou Assistente Técnico Administrativo I</t>
  </si>
  <si>
    <t>Diretor de Serviço, Diretor Pedagógico, Assistente Técnico Administrativo II ou Assistente Técnico da Superintendência</t>
  </si>
  <si>
    <t>Diretor de Divisão ou Assistente Técnico Administrativo III</t>
  </si>
  <si>
    <t>Assistente de Planejamento Estratégico ou Diretor de Departamento</t>
  </si>
  <si>
    <t>Diretor de Escola Técnica - ETEC ou Vice-Diretor de Faculdade - FATEC</t>
  </si>
  <si>
    <t>Assessor Administrativo de Gabinete ou Assessor Técnico da Superintendência</t>
  </si>
  <si>
    <t>Assessor Técnico Chefe, Coordenador Técnico ou Chefe de Gabinete da Superintendência</t>
  </si>
  <si>
    <t>ANEXO XI</t>
  </si>
  <si>
    <t>QUANTITATIVOS</t>
  </si>
  <si>
    <t>EMPREGOS PÚBLICOS PERMANENTES</t>
  </si>
  <si>
    <t>ANEXO XII</t>
  </si>
  <si>
    <t>QUANTITATIVOS EPC</t>
  </si>
  <si>
    <t>QUANTITATIVOS 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</si>
</sst>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.00_ ;[Red]\-#,##0.00\ 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sz val="12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1F497D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37">
    <xf numFmtId="0" fontId="0" fillId="0" borderId="0" xfId="0"/>
    <xf numFmtId="0" fontId="2" fillId="2" borderId="2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/>
    </xf>
    <xf numFmtId="2" fontId="4" fillId="6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4" fillId="7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7" borderId="7" xfId="0" applyFill="1" applyBorder="1"/>
    <xf numFmtId="0" fontId="0" fillId="7" borderId="9" xfId="0" applyFill="1" applyBorder="1"/>
    <xf numFmtId="0" fontId="0" fillId="7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4" fontId="4" fillId="3" borderId="4" xfId="1" applyNumberFormat="1" applyFont="1" applyFill="1" applyBorder="1" applyAlignment="1">
      <alignment horizontal="center" vertical="center"/>
    </xf>
    <xf numFmtId="4" fontId="4" fillId="7" borderId="4" xfId="1" applyNumberFormat="1" applyFont="1" applyFill="1" applyBorder="1" applyAlignment="1">
      <alignment horizontal="center" vertical="center"/>
    </xf>
    <xf numFmtId="4" fontId="4" fillId="4" borderId="4" xfId="1" applyNumberFormat="1" applyFont="1" applyFill="1" applyBorder="1" applyAlignment="1">
      <alignment horizontal="center" vertical="center"/>
    </xf>
    <xf numFmtId="0" fontId="1" fillId="0" borderId="0" xfId="0" applyFont="1"/>
    <xf numFmtId="2" fontId="3" fillId="8" borderId="1" xfId="1" applyNumberFormat="1" applyFont="1" applyFill="1" applyBorder="1" applyAlignment="1">
      <alignment horizontal="center" vertical="center"/>
    </xf>
    <xf numFmtId="4" fontId="3" fillId="8" borderId="4" xfId="1" applyNumberFormat="1" applyFont="1" applyFill="1" applyBorder="1" applyAlignment="1">
      <alignment horizontal="center" vertical="center" wrapText="1"/>
    </xf>
    <xf numFmtId="4" fontId="3" fillId="8" borderId="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11" fillId="9" borderId="5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horizontal="center" vertical="center"/>
    </xf>
    <xf numFmtId="43" fontId="14" fillId="3" borderId="1" xfId="3" applyNumberFormat="1" applyFont="1" applyFill="1" applyBorder="1" applyAlignment="1">
      <alignment horizontal="center" vertical="center"/>
    </xf>
    <xf numFmtId="43" fontId="15" fillId="10" borderId="1" xfId="3" applyNumberFormat="1" applyFont="1" applyFill="1" applyBorder="1" applyAlignment="1">
      <alignment horizontal="center" vertical="center"/>
    </xf>
    <xf numFmtId="43" fontId="15" fillId="11" borderId="1" xfId="3" applyNumberFormat="1" applyFont="1" applyFill="1" applyBorder="1" applyAlignment="1">
      <alignment horizontal="center" vertical="center"/>
    </xf>
    <xf numFmtId="43" fontId="15" fillId="12" borderId="1" xfId="3" applyNumberFormat="1" applyFont="1" applyFill="1" applyBorder="1" applyAlignment="1">
      <alignment horizontal="center" vertical="center"/>
    </xf>
    <xf numFmtId="43" fontId="15" fillId="12" borderId="8" xfId="3" applyNumberFormat="1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43" fontId="14" fillId="13" borderId="12" xfId="3" applyNumberFormat="1" applyFont="1" applyFill="1" applyBorder="1" applyAlignment="1">
      <alignment horizontal="center" vertical="center"/>
    </xf>
    <xf numFmtId="43" fontId="15" fillId="10" borderId="12" xfId="3" applyNumberFormat="1" applyFont="1" applyFill="1" applyBorder="1" applyAlignment="1">
      <alignment horizontal="center" vertical="center"/>
    </xf>
    <xf numFmtId="43" fontId="15" fillId="10" borderId="10" xfId="3" applyNumberFormat="1" applyFont="1" applyFill="1" applyBorder="1" applyAlignment="1">
      <alignment horizontal="center" vertical="center"/>
    </xf>
    <xf numFmtId="43" fontId="15" fillId="6" borderId="1" xfId="3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0" fillId="0" borderId="0" xfId="0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left" vertical="center" wrapText="1" readingOrder="1"/>
    </xf>
    <xf numFmtId="0" fontId="19" fillId="0" borderId="0" xfId="0" applyFont="1" applyFill="1" applyBorder="1" applyAlignment="1">
      <alignment horizontal="center" vertical="center" wrapText="1" readingOrder="1"/>
    </xf>
    <xf numFmtId="8" fontId="19" fillId="0" borderId="0" xfId="0" applyNumberFormat="1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 readingOrder="1"/>
    </xf>
    <xf numFmtId="0" fontId="22" fillId="2" borderId="3" xfId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horizontal="center" vertical="center"/>
    </xf>
    <xf numFmtId="4" fontId="4" fillId="6" borderId="4" xfId="1" applyNumberFormat="1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wrapText="1"/>
    </xf>
    <xf numFmtId="10" fontId="0" fillId="0" borderId="0" xfId="0" applyNumberFormat="1" applyBorder="1"/>
    <xf numFmtId="0" fontId="23" fillId="0" borderId="0" xfId="0" applyFont="1"/>
    <xf numFmtId="166" fontId="19" fillId="10" borderId="1" xfId="0" applyNumberFormat="1" applyFont="1" applyFill="1" applyBorder="1" applyAlignment="1">
      <alignment horizontal="center" vertical="center" wrapText="1" readingOrder="1"/>
    </xf>
    <xf numFmtId="166" fontId="19" fillId="0" borderId="1" xfId="0" applyNumberFormat="1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 readingOrder="1"/>
    </xf>
    <xf numFmtId="0" fontId="19" fillId="10" borderId="1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vertical="center" wrapText="1" readingOrder="1"/>
    </xf>
    <xf numFmtId="0" fontId="19" fillId="10" borderId="1" xfId="0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/>
    </xf>
    <xf numFmtId="0" fontId="19" fillId="10" borderId="17" xfId="0" applyFont="1" applyFill="1" applyBorder="1" applyAlignment="1">
      <alignment horizontal="center" vertical="center" wrapText="1" readingOrder="1"/>
    </xf>
    <xf numFmtId="166" fontId="19" fillId="0" borderId="17" xfId="0" applyNumberFormat="1" applyFont="1" applyFill="1" applyBorder="1" applyAlignment="1">
      <alignment horizontal="center" vertical="center" wrapText="1" readingOrder="1"/>
    </xf>
    <xf numFmtId="166" fontId="19" fillId="10" borderId="17" xfId="0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0" fillId="0" borderId="0" xfId="0" applyNumberFormat="1" applyBorder="1"/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4" fontId="10" fillId="0" borderId="0" xfId="3" applyFont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44" fontId="10" fillId="0" borderId="0" xfId="3" applyFont="1" applyBorder="1" applyAlignment="1">
      <alignment vertical="center"/>
    </xf>
    <xf numFmtId="0" fontId="25" fillId="0" borderId="0" xfId="0" applyFont="1" applyAlignment="1">
      <alignment horizontal="center"/>
    </xf>
    <xf numFmtId="0" fontId="26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16" fontId="7" fillId="0" borderId="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3" fontId="8" fillId="0" borderId="0" xfId="0" applyNumberFormat="1" applyFont="1" applyBorder="1"/>
    <xf numFmtId="0" fontId="0" fillId="11" borderId="10" xfId="0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Alignment="1"/>
    <xf numFmtId="0" fontId="17" fillId="0" borderId="8" xfId="0" applyFont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8" fillId="9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4" fontId="0" fillId="0" borderId="0" xfId="0" applyNumberFormat="1"/>
    <xf numFmtId="0" fontId="8" fillId="0" borderId="0" xfId="0" applyFont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0" xfId="0" applyFont="1" applyFill="1" applyBorder="1"/>
    <xf numFmtId="0" fontId="1" fillId="8" borderId="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3" fillId="9" borderId="2" xfId="0" applyFont="1" applyFill="1" applyBorder="1" applyAlignment="1">
      <alignment horizontal="center" vertical="center"/>
    </xf>
    <xf numFmtId="0" fontId="29" fillId="8" borderId="33" xfId="0" applyFont="1" applyFill="1" applyBorder="1" applyAlignment="1">
      <alignment horizontal="center" vertical="center"/>
    </xf>
    <xf numFmtId="0" fontId="8" fillId="0" borderId="0" xfId="0" applyFont="1" applyFill="1"/>
    <xf numFmtId="0" fontId="6" fillId="5" borderId="2" xfId="1" applyFont="1" applyFill="1" applyBorder="1" applyAlignment="1">
      <alignment horizontal="center" vertical="center"/>
    </xf>
    <xf numFmtId="0" fontId="29" fillId="0" borderId="3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22" fillId="2" borderId="4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9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/>
    <xf numFmtId="0" fontId="8" fillId="0" borderId="0" xfId="0" applyFont="1"/>
    <xf numFmtId="0" fontId="8" fillId="0" borderId="0" xfId="0" applyFont="1" applyBorder="1"/>
    <xf numFmtId="0" fontId="19" fillId="0" borderId="0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5" fillId="0" borderId="0" xfId="0" applyFont="1" applyAlignment="1"/>
    <xf numFmtId="0" fontId="27" fillId="10" borderId="1" xfId="0" applyFont="1" applyFill="1" applyBorder="1" applyAlignment="1">
      <alignment horizontal="left" vertical="center" wrapText="1" readingOrder="1"/>
    </xf>
    <xf numFmtId="0" fontId="27" fillId="0" borderId="1" xfId="0" applyFont="1" applyFill="1" applyBorder="1" applyAlignment="1">
      <alignment horizontal="left" vertical="center" wrapText="1" readingOrder="1"/>
    </xf>
    <xf numFmtId="0" fontId="27" fillId="0" borderId="1" xfId="0" applyFont="1" applyFill="1" applyBorder="1" applyAlignment="1">
      <alignment horizontal="center" vertical="center" wrapText="1" readingOrder="1"/>
    </xf>
    <xf numFmtId="0" fontId="27" fillId="10" borderId="1" xfId="0" applyFont="1" applyFill="1" applyBorder="1" applyAlignment="1">
      <alignment horizontal="center" vertical="center" wrapText="1" readingOrder="1"/>
    </xf>
    <xf numFmtId="0" fontId="27" fillId="10" borderId="17" xfId="0" applyFont="1" applyFill="1" applyBorder="1" applyAlignment="1">
      <alignment horizontal="center" vertical="center" wrapText="1" readingOrder="1"/>
    </xf>
    <xf numFmtId="0" fontId="27" fillId="10" borderId="3" xfId="0" applyFont="1" applyFill="1" applyBorder="1" applyAlignment="1">
      <alignment horizontal="center" vertical="center" wrapText="1" readingOrder="1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3" xfId="0" applyBorder="1" applyAlignment="1">
      <alignment horizont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0" fontId="0" fillId="7" borderId="16" xfId="0" applyNumberFormat="1" applyFill="1" applyBorder="1" applyAlignment="1">
      <alignment horizontal="center"/>
    </xf>
    <xf numFmtId="10" fontId="0" fillId="7" borderId="30" xfId="0" applyNumberFormat="1" applyFill="1" applyBorder="1" applyAlignment="1">
      <alignment horizontal="center"/>
    </xf>
    <xf numFmtId="10" fontId="0" fillId="7" borderId="31" xfId="0" applyNumberFormat="1" applyFill="1" applyBorder="1" applyAlignment="1">
      <alignment horizontal="center"/>
    </xf>
    <xf numFmtId="10" fontId="0" fillId="7" borderId="32" xfId="0" applyNumberFormat="1" applyFill="1" applyBorder="1" applyAlignment="1">
      <alignment horizontal="center"/>
    </xf>
    <xf numFmtId="0" fontId="0" fillId="7" borderId="25" xfId="0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 wrapText="1"/>
    </xf>
    <xf numFmtId="0" fontId="0" fillId="7" borderId="27" xfId="0" applyFill="1" applyBorder="1" applyAlignment="1">
      <alignment horizontal="center" vertical="center" wrapText="1"/>
    </xf>
    <xf numFmtId="165" fontId="0" fillId="7" borderId="28" xfId="0" applyNumberFormat="1" applyFill="1" applyBorder="1" applyAlignment="1">
      <alignment horizontal="center" vertical="center"/>
    </xf>
    <xf numFmtId="165" fontId="0" fillId="7" borderId="29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/>
    </xf>
    <xf numFmtId="10" fontId="0" fillId="7" borderId="8" xfId="0" applyNumberFormat="1" applyFill="1" applyBorder="1" applyAlignment="1">
      <alignment horizontal="center"/>
    </xf>
    <xf numFmtId="0" fontId="0" fillId="7" borderId="5" xfId="0" applyFont="1" applyFill="1" applyBorder="1" applyAlignment="1">
      <alignment horizontal="center" vertical="center" wrapText="1"/>
    </xf>
    <xf numFmtId="0" fontId="0" fillId="7" borderId="11" xfId="0" applyFont="1" applyFill="1" applyBorder="1" applyAlignment="1">
      <alignment horizontal="center" vertical="center" wrapText="1"/>
    </xf>
    <xf numFmtId="0" fontId="0" fillId="7" borderId="9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10" fontId="0" fillId="7" borderId="6" xfId="0" applyNumberFormat="1" applyFill="1" applyBorder="1" applyAlignment="1">
      <alignment horizontal="center" vertical="center"/>
    </xf>
    <xf numFmtId="10" fontId="0" fillId="7" borderId="10" xfId="0" applyNumberFormat="1" applyFill="1" applyBorder="1" applyAlignment="1">
      <alignment horizontal="center" vertical="center"/>
    </xf>
    <xf numFmtId="10" fontId="0" fillId="7" borderId="12" xfId="0" applyNumberFormat="1" applyFill="1" applyBorder="1" applyAlignment="1">
      <alignment horizontal="center"/>
    </xf>
    <xf numFmtId="10" fontId="0" fillId="7" borderId="10" xfId="0" applyNumberFormat="1" applyFill="1" applyBorder="1" applyAlignment="1">
      <alignment horizont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8" fillId="8" borderId="19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 wrapText="1" readingOrder="1"/>
    </xf>
    <xf numFmtId="0" fontId="19" fillId="10" borderId="3" xfId="0" applyFont="1" applyFill="1" applyBorder="1" applyAlignment="1">
      <alignment horizontal="center" vertical="center" wrapText="1" readingOrder="1"/>
    </xf>
    <xf numFmtId="166" fontId="19" fillId="10" borderId="17" xfId="0" applyNumberFormat="1" applyFont="1" applyFill="1" applyBorder="1" applyAlignment="1">
      <alignment horizontal="center" vertical="center" wrapText="1" readingOrder="1"/>
    </xf>
    <xf numFmtId="166" fontId="19" fillId="10" borderId="3" xfId="0" applyNumberFormat="1" applyFont="1" applyFill="1" applyBorder="1" applyAlignment="1">
      <alignment horizontal="center" vertical="center" wrapText="1" readingOrder="1"/>
    </xf>
    <xf numFmtId="0" fontId="18" fillId="1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10" borderId="34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10" borderId="1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1" fillId="9" borderId="4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21" fillId="9" borderId="38" xfId="0" applyFont="1" applyFill="1" applyBorder="1" applyAlignment="1">
      <alignment horizontal="center" vertical="center" wrapText="1"/>
    </xf>
    <xf numFmtId="0" fontId="21" fillId="9" borderId="37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9" borderId="14" xfId="0" applyFont="1" applyFill="1" applyBorder="1" applyAlignment="1">
      <alignment horizontal="center" vertical="center" wrapText="1"/>
    </xf>
    <xf numFmtId="0" fontId="21" fillId="9" borderId="4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readingOrder="1"/>
    </xf>
    <xf numFmtId="0" fontId="27" fillId="10" borderId="1" xfId="0" applyFont="1" applyFill="1" applyBorder="1" applyAlignment="1">
      <alignment horizontal="center" vertical="center" wrapText="1" readingOrder="1"/>
    </xf>
    <xf numFmtId="0" fontId="7" fillId="0" borderId="21" xfId="0" applyFont="1" applyBorder="1" applyAlignment="1">
      <alignment horizontal="center" vertical="center"/>
    </xf>
    <xf numFmtId="0" fontId="27" fillId="10" borderId="17" xfId="0" applyFont="1" applyFill="1" applyBorder="1" applyAlignment="1">
      <alignment horizontal="center" vertical="center" wrapText="1" readingOrder="1"/>
    </xf>
    <xf numFmtId="0" fontId="27" fillId="10" borderId="3" xfId="0" applyFont="1" applyFill="1" applyBorder="1" applyAlignment="1">
      <alignment horizontal="center" vertical="center" wrapText="1" readingOrder="1"/>
    </xf>
    <xf numFmtId="0" fontId="20" fillId="9" borderId="1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 readingOrder="1"/>
    </xf>
    <xf numFmtId="0" fontId="27" fillId="0" borderId="42" xfId="0" applyFont="1" applyFill="1" applyBorder="1" applyAlignment="1">
      <alignment horizontal="center" vertical="center" wrapText="1" readingOrder="1"/>
    </xf>
    <xf numFmtId="0" fontId="27" fillId="0" borderId="3" xfId="0" applyFont="1" applyFill="1" applyBorder="1" applyAlignment="1">
      <alignment horizontal="center" vertical="center" wrapText="1" readingOrder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center"/>
    </xf>
  </cellXfs>
  <cellStyles count="100">
    <cellStyle name="Comma 2" xfId="2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Moeda" xfId="3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114300</xdr:rowOff>
    </xdr:from>
    <xdr:to>
      <xdr:col>12</xdr:col>
      <xdr:colOff>561975</xdr:colOff>
      <xdr:row>0</xdr:row>
      <xdr:rowOff>581025</xdr:rowOff>
    </xdr:to>
    <xdr:pic>
      <xdr:nvPicPr>
        <xdr:cNvPr id="3" name="Imagem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14300"/>
          <a:ext cx="4829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226236</xdr:colOff>
      <xdr:row>0</xdr:row>
      <xdr:rowOff>126206</xdr:rowOff>
    </xdr:from>
    <xdr:to>
      <xdr:col>5</xdr:col>
      <xdr:colOff>540164</xdr:colOff>
      <xdr:row>0</xdr:row>
      <xdr:rowOff>523876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55" y="126206"/>
          <a:ext cx="6886178" cy="39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511988</xdr:colOff>
      <xdr:row>0</xdr:row>
      <xdr:rowOff>138113</xdr:rowOff>
    </xdr:from>
    <xdr:to>
      <xdr:col>4</xdr:col>
      <xdr:colOff>285745</xdr:colOff>
      <xdr:row>0</xdr:row>
      <xdr:rowOff>535783</xdr:rowOff>
    </xdr:to>
    <xdr:pic>
      <xdr:nvPicPr>
        <xdr:cNvPr id="3" name="Imagem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613" y="138113"/>
          <a:ext cx="6274570" cy="39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202425</xdr:colOff>
      <xdr:row>0</xdr:row>
      <xdr:rowOff>126206</xdr:rowOff>
    </xdr:from>
    <xdr:to>
      <xdr:col>2</xdr:col>
      <xdr:colOff>3226589</xdr:colOff>
      <xdr:row>0</xdr:row>
      <xdr:rowOff>523876</xdr:rowOff>
    </xdr:to>
    <xdr:pic>
      <xdr:nvPicPr>
        <xdr:cNvPr id="3" name="Imagem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025" y="126206"/>
          <a:ext cx="6272189" cy="39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392926</xdr:colOff>
      <xdr:row>0</xdr:row>
      <xdr:rowOff>66674</xdr:rowOff>
    </xdr:from>
    <xdr:to>
      <xdr:col>11</xdr:col>
      <xdr:colOff>214313</xdr:colOff>
      <xdr:row>0</xdr:row>
      <xdr:rowOff>464344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70" y="66674"/>
          <a:ext cx="4536262" cy="39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226236</xdr:colOff>
      <xdr:row>0</xdr:row>
      <xdr:rowOff>126206</xdr:rowOff>
    </xdr:from>
    <xdr:to>
      <xdr:col>5</xdr:col>
      <xdr:colOff>0</xdr:colOff>
      <xdr:row>0</xdr:row>
      <xdr:rowOff>523876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36" y="126206"/>
          <a:ext cx="6905228" cy="39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511988</xdr:colOff>
      <xdr:row>0</xdr:row>
      <xdr:rowOff>138113</xdr:rowOff>
    </xdr:from>
    <xdr:to>
      <xdr:col>3</xdr:col>
      <xdr:colOff>285745</xdr:colOff>
      <xdr:row>0</xdr:row>
      <xdr:rowOff>535783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613" y="138113"/>
          <a:ext cx="6269807" cy="39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114300</xdr:rowOff>
    </xdr:from>
    <xdr:to>
      <xdr:col>12</xdr:col>
      <xdr:colOff>561975</xdr:colOff>
      <xdr:row>0</xdr:row>
      <xdr:rowOff>581025</xdr:rowOff>
    </xdr:to>
    <xdr:pic>
      <xdr:nvPicPr>
        <xdr:cNvPr id="3" name="Imagem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14300"/>
          <a:ext cx="48291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114300</xdr:rowOff>
    </xdr:from>
    <xdr:to>
      <xdr:col>12</xdr:col>
      <xdr:colOff>561975</xdr:colOff>
      <xdr:row>0</xdr:row>
      <xdr:rowOff>581025</xdr:rowOff>
    </xdr:to>
    <xdr:pic>
      <xdr:nvPicPr>
        <xdr:cNvPr id="3" name="Imagem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14300"/>
          <a:ext cx="4953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0</xdr:row>
      <xdr:rowOff>42863</xdr:rowOff>
    </xdr:from>
    <xdr:to>
      <xdr:col>11</xdr:col>
      <xdr:colOff>728662</xdr:colOff>
      <xdr:row>0</xdr:row>
      <xdr:rowOff>509588</xdr:rowOff>
    </xdr:to>
    <xdr:pic>
      <xdr:nvPicPr>
        <xdr:cNvPr id="3" name="Imagem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7656" y="42863"/>
          <a:ext cx="606266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214312</xdr:colOff>
      <xdr:row>0</xdr:row>
      <xdr:rowOff>42863</xdr:rowOff>
    </xdr:from>
    <xdr:to>
      <xdr:col>11</xdr:col>
      <xdr:colOff>728662</xdr:colOff>
      <xdr:row>0</xdr:row>
      <xdr:rowOff>509588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0512" y="42863"/>
          <a:ext cx="6029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9525</xdr:rowOff>
    </xdr:from>
    <xdr:to>
      <xdr:col>12</xdr:col>
      <xdr:colOff>371475</xdr:colOff>
      <xdr:row>0</xdr:row>
      <xdr:rowOff>571500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9525"/>
          <a:ext cx="5067300" cy="561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0</xdr:row>
      <xdr:rowOff>9525</xdr:rowOff>
    </xdr:from>
    <xdr:to>
      <xdr:col>12</xdr:col>
      <xdr:colOff>371475</xdr:colOff>
      <xdr:row>0</xdr:row>
      <xdr:rowOff>489592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81300" y="9525"/>
          <a:ext cx="5067300" cy="4800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702468</xdr:colOff>
      <xdr:row>0</xdr:row>
      <xdr:rowOff>54770</xdr:rowOff>
    </xdr:from>
    <xdr:to>
      <xdr:col>4</xdr:col>
      <xdr:colOff>673893</xdr:colOff>
      <xdr:row>0</xdr:row>
      <xdr:rowOff>521495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7" y="54770"/>
          <a:ext cx="5305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702468</xdr:colOff>
      <xdr:row>0</xdr:row>
      <xdr:rowOff>54770</xdr:rowOff>
    </xdr:from>
    <xdr:to>
      <xdr:col>4</xdr:col>
      <xdr:colOff>673893</xdr:colOff>
      <xdr:row>0</xdr:row>
      <xdr:rowOff>521495</xdr:rowOff>
    </xdr:to>
    <xdr:pic>
      <xdr:nvPicPr>
        <xdr:cNvPr id="2" name="Imagem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068" y="54770"/>
          <a:ext cx="5324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workbookViewId="0">
      <selection activeCell="C7" sqref="C7"/>
    </sheetView>
  </sheetViews>
  <sheetFormatPr defaultRowHeight="15" x14ac:dyDescent="0.25"/>
  <cols>
    <col min="1" max="1" width="9.140625" style="26" customWidth="1"/>
    <col min="2" max="2" width="10.140625" customWidth="1"/>
    <col min="3" max="3" width="12.140625" customWidth="1"/>
    <col min="4" max="4" width="9.140625" customWidth="1"/>
    <col min="5" max="5" width="10.5703125" customWidth="1"/>
  </cols>
  <sheetData>
    <row r="1" spans="1:17" ht="69.95" customHeight="1" x14ac:dyDescent="0.35">
      <c r="F1" s="139" t="s">
        <v>110</v>
      </c>
      <c r="G1" s="139"/>
      <c r="H1" s="139"/>
      <c r="I1" s="139"/>
      <c r="J1" s="139"/>
      <c r="K1" s="139"/>
      <c r="L1" s="139"/>
      <c r="M1" s="139"/>
    </row>
    <row r="2" spans="1:17" s="21" customFormat="1" ht="24.95" customHeight="1" x14ac:dyDescent="0.25">
      <c r="A2" s="106"/>
      <c r="B2" s="140" t="s">
        <v>111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x14ac:dyDescent="0.25">
      <c r="B3" s="72" t="s">
        <v>113</v>
      </c>
      <c r="C3" s="70" t="s">
        <v>30</v>
      </c>
      <c r="D3" s="71" t="s">
        <v>29</v>
      </c>
      <c r="E3" s="71" t="s">
        <v>31</v>
      </c>
      <c r="F3" s="71" t="s">
        <v>32</v>
      </c>
      <c r="G3" s="71" t="s">
        <v>33</v>
      </c>
      <c r="H3" s="71" t="s">
        <v>34</v>
      </c>
      <c r="I3" s="71" t="s">
        <v>35</v>
      </c>
      <c r="J3" s="71" t="s">
        <v>36</v>
      </c>
      <c r="K3" s="71" t="s">
        <v>37</v>
      </c>
      <c r="L3" s="71" t="s">
        <v>38</v>
      </c>
      <c r="M3" s="71" t="s">
        <v>39</v>
      </c>
      <c r="N3" s="71" t="s">
        <v>40</v>
      </c>
      <c r="O3" s="71" t="s">
        <v>41</v>
      </c>
      <c r="P3" s="71" t="s">
        <v>42</v>
      </c>
      <c r="Q3" s="71" t="s">
        <v>43</v>
      </c>
    </row>
    <row r="4" spans="1:17" ht="24" thickBot="1" x14ac:dyDescent="0.3">
      <c r="B4" s="2" t="s">
        <v>18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</row>
    <row r="5" spans="1:17" ht="16.5" thickBot="1" x14ac:dyDescent="0.3">
      <c r="A5" s="119" t="s">
        <v>27</v>
      </c>
      <c r="B5" s="118" t="s">
        <v>16</v>
      </c>
      <c r="C5" s="18">
        <f>C6*1.19</f>
        <v>39.640887299999996</v>
      </c>
      <c r="D5" s="6">
        <f>C5*$D$8</f>
        <v>41.226522791999997</v>
      </c>
      <c r="E5" s="6">
        <f>D5*$D$8</f>
        <v>42.87558370368</v>
      </c>
      <c r="F5" s="6">
        <f t="shared" ref="F5:K5" si="0">E5*$D$8</f>
        <v>44.590607051827199</v>
      </c>
      <c r="G5" s="6">
        <f t="shared" si="0"/>
        <v>46.374231333900291</v>
      </c>
      <c r="H5" s="6">
        <f t="shared" si="0"/>
        <v>48.229200587256301</v>
      </c>
      <c r="I5" s="6">
        <f t="shared" si="0"/>
        <v>50.158368610746557</v>
      </c>
      <c r="J5" s="6">
        <f t="shared" si="0"/>
        <v>52.164703355176421</v>
      </c>
      <c r="K5" s="6">
        <f t="shared" si="0"/>
        <v>54.251291489383483</v>
      </c>
      <c r="L5" s="4"/>
      <c r="M5" s="4"/>
      <c r="N5" s="4"/>
      <c r="O5" s="4"/>
      <c r="P5" s="4"/>
      <c r="Q5" s="4"/>
    </row>
    <row r="6" spans="1:17" ht="16.5" thickBot="1" x14ac:dyDescent="0.3">
      <c r="A6" s="119" t="s">
        <v>44</v>
      </c>
      <c r="B6" s="118" t="s">
        <v>17</v>
      </c>
      <c r="C6" s="18">
        <f>C7*1.19</f>
        <v>33.311669999999999</v>
      </c>
      <c r="D6" s="6">
        <f>C6*$D$8</f>
        <v>34.644136799999998</v>
      </c>
      <c r="E6" s="6">
        <f t="shared" ref="E6:N6" si="1">D6*$D$8</f>
        <v>36.029902272000001</v>
      </c>
      <c r="F6" s="6">
        <f t="shared" si="1"/>
        <v>37.471098362879999</v>
      </c>
      <c r="G6" s="6">
        <f t="shared" si="1"/>
        <v>38.9699422973952</v>
      </c>
      <c r="H6" s="6">
        <f t="shared" si="1"/>
        <v>40.528739989291012</v>
      </c>
      <c r="I6" s="6">
        <f t="shared" si="1"/>
        <v>42.149889588862656</v>
      </c>
      <c r="J6" s="6">
        <f t="shared" si="1"/>
        <v>43.835885172417164</v>
      </c>
      <c r="K6" s="6">
        <f t="shared" si="1"/>
        <v>45.589320579313849</v>
      </c>
      <c r="L6" s="6">
        <f t="shared" si="1"/>
        <v>47.412893402486404</v>
      </c>
      <c r="M6" s="6">
        <f t="shared" si="1"/>
        <v>49.309409138585863</v>
      </c>
      <c r="N6" s="6">
        <f t="shared" si="1"/>
        <v>51.281785504129303</v>
      </c>
      <c r="O6" s="4"/>
      <c r="P6" s="4"/>
      <c r="Q6" s="4"/>
    </row>
    <row r="7" spans="1:17" ht="15.75" x14ac:dyDescent="0.25">
      <c r="B7" s="3" t="s">
        <v>9</v>
      </c>
      <c r="C7" s="22">
        <f>26.66*1.05</f>
        <v>27.993000000000002</v>
      </c>
      <c r="D7" s="6">
        <f>C7*$D$8</f>
        <v>29.112720000000003</v>
      </c>
      <c r="E7" s="6">
        <f t="shared" ref="E7:Q7" si="2">D7*$D$8</f>
        <v>30.277228800000003</v>
      </c>
      <c r="F7" s="6">
        <f t="shared" si="2"/>
        <v>31.488317952000003</v>
      </c>
      <c r="G7" s="6">
        <f t="shared" si="2"/>
        <v>32.747850670080005</v>
      </c>
      <c r="H7" s="6">
        <f t="shared" si="2"/>
        <v>34.057764696883204</v>
      </c>
      <c r="I7" s="6">
        <f t="shared" si="2"/>
        <v>35.420075284758532</v>
      </c>
      <c r="J7" s="6">
        <f t="shared" si="2"/>
        <v>36.836878296148875</v>
      </c>
      <c r="K7" s="6">
        <f t="shared" si="2"/>
        <v>38.310353427994833</v>
      </c>
      <c r="L7" s="6">
        <f t="shared" si="2"/>
        <v>39.842767565114627</v>
      </c>
      <c r="M7" s="6">
        <f t="shared" si="2"/>
        <v>41.436478267719217</v>
      </c>
      <c r="N7" s="6">
        <f t="shared" si="2"/>
        <v>43.09393739842799</v>
      </c>
      <c r="O7" s="6">
        <f t="shared" si="2"/>
        <v>44.817694894365111</v>
      </c>
      <c r="P7" s="6">
        <f t="shared" si="2"/>
        <v>46.610402690139715</v>
      </c>
      <c r="Q7" s="6">
        <f t="shared" si="2"/>
        <v>48.474818797745307</v>
      </c>
    </row>
    <row r="8" spans="1:17" hidden="1" x14ac:dyDescent="0.25">
      <c r="C8" s="23">
        <v>1.0875999999999999</v>
      </c>
      <c r="D8" s="24">
        <v>1.04</v>
      </c>
      <c r="E8" s="7"/>
    </row>
    <row r="9" spans="1:17" s="7" customFormat="1" ht="15.75" thickBot="1" x14ac:dyDescent="0.3">
      <c r="A9" s="117"/>
    </row>
    <row r="10" spans="1:17" s="7" customFormat="1" x14ac:dyDescent="0.25">
      <c r="A10" s="117"/>
      <c r="D10" s="144" t="s">
        <v>25</v>
      </c>
      <c r="E10" s="145"/>
      <c r="F10" s="146"/>
      <c r="I10" s="144" t="s">
        <v>24</v>
      </c>
      <c r="J10" s="145"/>
      <c r="K10" s="146"/>
    </row>
    <row r="11" spans="1:17" s="7" customFormat="1" ht="15" customHeight="1" x14ac:dyDescent="0.25">
      <c r="A11" s="117"/>
      <c r="D11" s="8" t="s">
        <v>20</v>
      </c>
      <c r="E11" s="147">
        <v>0.19</v>
      </c>
      <c r="F11" s="148"/>
      <c r="I11" s="151" t="s">
        <v>23</v>
      </c>
      <c r="J11" s="152"/>
      <c r="K11" s="155">
        <v>0.04</v>
      </c>
    </row>
    <row r="12" spans="1:17" s="7" customFormat="1" ht="15.75" thickBot="1" x14ac:dyDescent="0.3">
      <c r="A12" s="117"/>
      <c r="D12" s="9" t="s">
        <v>21</v>
      </c>
      <c r="E12" s="149">
        <v>0.19</v>
      </c>
      <c r="F12" s="150"/>
      <c r="I12" s="153"/>
      <c r="J12" s="154"/>
      <c r="K12" s="156"/>
    </row>
    <row r="13" spans="1:17" ht="32.25" customHeight="1" x14ac:dyDescent="0.25">
      <c r="D13" s="141" t="s">
        <v>112</v>
      </c>
      <c r="E13" s="141"/>
      <c r="F13" s="141"/>
      <c r="I13" s="143" t="s">
        <v>26</v>
      </c>
      <c r="J13" s="143"/>
      <c r="K13" s="143"/>
    </row>
    <row r="14" spans="1:17" x14ac:dyDescent="0.25">
      <c r="D14" s="142"/>
      <c r="E14" s="142"/>
      <c r="F14" s="142"/>
    </row>
    <row r="15" spans="1:17" s="25" customFormat="1" x14ac:dyDescent="0.25">
      <c r="A15" s="42"/>
    </row>
    <row r="16" spans="1:17" s="25" customFormat="1" x14ac:dyDescent="0.25">
      <c r="A16" s="42"/>
    </row>
    <row r="17" spans="1:5" s="25" customFormat="1" x14ac:dyDescent="0.25">
      <c r="A17" s="42"/>
      <c r="C17" s="69"/>
    </row>
    <row r="18" spans="1:5" s="25" customFormat="1" ht="45.75" customHeight="1" x14ac:dyDescent="0.25">
      <c r="A18" s="42"/>
      <c r="B18" s="54"/>
      <c r="C18" s="54"/>
      <c r="D18" s="54"/>
      <c r="E18" s="54"/>
    </row>
    <row r="19" spans="1:5" s="25" customFormat="1" x14ac:dyDescent="0.25">
      <c r="A19" s="42"/>
      <c r="C19" s="55"/>
      <c r="D19" s="55"/>
      <c r="E19" s="55"/>
    </row>
    <row r="20" spans="1:5" s="25" customFormat="1" x14ac:dyDescent="0.25">
      <c r="A20" s="42"/>
      <c r="C20" s="55"/>
      <c r="D20" s="55"/>
      <c r="E20" s="55"/>
    </row>
    <row r="21" spans="1:5" s="25" customFormat="1" x14ac:dyDescent="0.25">
      <c r="A21" s="42"/>
      <c r="C21" s="55"/>
      <c r="D21" s="55"/>
      <c r="E21" s="55"/>
    </row>
    <row r="22" spans="1:5" s="25" customFormat="1" x14ac:dyDescent="0.25">
      <c r="A22" s="42"/>
      <c r="C22" s="55"/>
      <c r="D22" s="55"/>
      <c r="E22" s="55"/>
    </row>
    <row r="23" spans="1:5" s="25" customFormat="1" x14ac:dyDescent="0.25">
      <c r="A23" s="42"/>
      <c r="C23" s="55"/>
      <c r="D23" s="55"/>
      <c r="E23" s="55"/>
    </row>
    <row r="24" spans="1:5" s="25" customFormat="1" x14ac:dyDescent="0.25">
      <c r="A24" s="42"/>
    </row>
    <row r="25" spans="1:5" s="25" customFormat="1" x14ac:dyDescent="0.25">
      <c r="A25" s="42"/>
    </row>
    <row r="26" spans="1:5" s="25" customFormat="1" x14ac:dyDescent="0.25">
      <c r="A26" s="42"/>
    </row>
    <row r="27" spans="1:5" s="25" customFormat="1" x14ac:dyDescent="0.25">
      <c r="A27" s="42"/>
    </row>
  </sheetData>
  <mergeCells count="10">
    <mergeCell ref="F1:M1"/>
    <mergeCell ref="B2:Q2"/>
    <mergeCell ref="D13:F14"/>
    <mergeCell ref="I13:K13"/>
    <mergeCell ref="D10:F10"/>
    <mergeCell ref="E11:F11"/>
    <mergeCell ref="E12:F12"/>
    <mergeCell ref="I10:K10"/>
    <mergeCell ref="I11:J12"/>
    <mergeCell ref="K11:K12"/>
  </mergeCells>
  <pageMargins left="0.51181102362204722" right="0.51181102362204722" top="0.78740157480314965" bottom="0.78740157480314965" header="0.31496062992125984" footer="0.31496062992125984"/>
  <pageSetup paperSize="9" scale="7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8"/>
  <sheetViews>
    <sheetView showGridLines="0" zoomScale="80" zoomScaleNormal="80" workbookViewId="0">
      <selection activeCell="I14" sqref="I14"/>
    </sheetView>
  </sheetViews>
  <sheetFormatPr defaultRowHeight="15" x14ac:dyDescent="0.25"/>
  <cols>
    <col min="2" max="3" width="24.7109375" customWidth="1"/>
    <col min="4" max="5" width="24.7109375" style="26" customWidth="1"/>
    <col min="6" max="6" width="12.42578125" style="26" customWidth="1"/>
    <col min="7" max="18" width="11.7109375" style="26" customWidth="1"/>
  </cols>
  <sheetData>
    <row r="1" spans="2:19" ht="70.5" customHeight="1" x14ac:dyDescent="0.35">
      <c r="B1" s="139" t="s">
        <v>145</v>
      </c>
      <c r="C1" s="139"/>
      <c r="D1" s="139"/>
      <c r="E1" s="139"/>
      <c r="F1" s="139"/>
      <c r="G1" s="81"/>
      <c r="H1" s="81"/>
      <c r="I1" s="81"/>
      <c r="J1" s="81"/>
      <c r="K1" s="94"/>
      <c r="L1" s="94"/>
      <c r="M1" s="94"/>
      <c r="N1" s="94"/>
      <c r="O1" s="94"/>
      <c r="P1"/>
      <c r="Q1"/>
      <c r="R1"/>
    </row>
    <row r="2" spans="2:19" ht="24.95" customHeight="1" x14ac:dyDescent="0.25">
      <c r="B2" s="140" t="s">
        <v>121</v>
      </c>
      <c r="C2" s="140"/>
      <c r="D2" s="140"/>
      <c r="E2" s="140"/>
      <c r="F2" s="140"/>
      <c r="G2" s="83"/>
      <c r="H2" s="83"/>
      <c r="I2" s="83"/>
      <c r="J2" s="83"/>
      <c r="K2" s="83"/>
      <c r="L2" s="62"/>
      <c r="M2" s="62"/>
      <c r="N2" s="62"/>
      <c r="O2" s="62"/>
      <c r="P2" s="62"/>
      <c r="Q2" s="62"/>
      <c r="R2" s="62"/>
      <c r="S2" s="62"/>
    </row>
    <row r="3" spans="2:19" s="26" customFormat="1" ht="15.75" thickBot="1" x14ac:dyDescent="0.3">
      <c r="B3"/>
      <c r="C3"/>
      <c r="H3" s="42"/>
      <c r="I3" s="42"/>
      <c r="J3" s="42"/>
      <c r="K3" s="42"/>
      <c r="L3" s="42"/>
      <c r="S3"/>
    </row>
    <row r="4" spans="2:19" s="26" customFormat="1" ht="20.100000000000001" customHeight="1" x14ac:dyDescent="0.2">
      <c r="B4" s="219" t="s">
        <v>47</v>
      </c>
      <c r="C4" s="213"/>
      <c r="D4" s="212" t="s">
        <v>48</v>
      </c>
      <c r="E4" s="213"/>
      <c r="F4" s="209" t="s">
        <v>49</v>
      </c>
      <c r="H4" s="211"/>
      <c r="I4" s="211"/>
      <c r="J4" s="211"/>
      <c r="K4" s="211"/>
      <c r="L4" s="42"/>
    </row>
    <row r="5" spans="2:19" s="26" customFormat="1" ht="20.100000000000001" customHeight="1" x14ac:dyDescent="0.2">
      <c r="B5" s="220"/>
      <c r="C5" s="215"/>
      <c r="D5" s="214"/>
      <c r="E5" s="215"/>
      <c r="F5" s="210"/>
      <c r="H5" s="216"/>
      <c r="I5" s="216"/>
      <c r="J5" s="216"/>
      <c r="K5" s="216"/>
      <c r="L5" s="42"/>
    </row>
    <row r="6" spans="2:19" s="26" customFormat="1" ht="20.100000000000001" customHeight="1" x14ac:dyDescent="0.2">
      <c r="B6" s="195" t="s">
        <v>50</v>
      </c>
      <c r="C6" s="196"/>
      <c r="D6" s="199" t="s">
        <v>51</v>
      </c>
      <c r="E6" s="196"/>
      <c r="F6" s="95" t="s">
        <v>9</v>
      </c>
      <c r="H6" s="217"/>
      <c r="I6" s="217"/>
      <c r="J6" s="218"/>
      <c r="K6" s="218"/>
      <c r="L6" s="42"/>
    </row>
    <row r="7" spans="2:19" s="26" customFormat="1" ht="20.100000000000001" customHeight="1" x14ac:dyDescent="0.2">
      <c r="B7" s="197" t="s">
        <v>52</v>
      </c>
      <c r="C7" s="198"/>
      <c r="D7" s="204" t="s">
        <v>51</v>
      </c>
      <c r="E7" s="198"/>
      <c r="F7" s="96" t="s">
        <v>17</v>
      </c>
      <c r="H7" s="207"/>
      <c r="I7" s="207"/>
      <c r="J7" s="207"/>
      <c r="K7" s="207"/>
      <c r="L7" s="42"/>
    </row>
    <row r="8" spans="2:19" s="26" customFormat="1" ht="20.100000000000001" customHeight="1" x14ac:dyDescent="0.2">
      <c r="B8" s="195" t="s">
        <v>105</v>
      </c>
      <c r="C8" s="196"/>
      <c r="D8" s="199" t="s">
        <v>51</v>
      </c>
      <c r="E8" s="196"/>
      <c r="F8" s="95" t="s">
        <v>16</v>
      </c>
      <c r="H8" s="207"/>
      <c r="I8" s="207"/>
      <c r="J8" s="207"/>
      <c r="K8" s="207"/>
      <c r="L8" s="42"/>
    </row>
    <row r="9" spans="2:19" s="26" customFormat="1" ht="20.100000000000001" customHeight="1" x14ac:dyDescent="0.2">
      <c r="B9" s="197" t="s">
        <v>106</v>
      </c>
      <c r="C9" s="198"/>
      <c r="D9" s="204" t="s">
        <v>53</v>
      </c>
      <c r="E9" s="198"/>
      <c r="F9" s="97" t="s">
        <v>109</v>
      </c>
      <c r="H9" s="207"/>
      <c r="I9" s="207"/>
      <c r="J9" s="207"/>
      <c r="K9" s="207"/>
      <c r="L9" s="42"/>
    </row>
    <row r="10" spans="2:19" s="26" customFormat="1" ht="20.100000000000001" customHeight="1" x14ac:dyDescent="0.2">
      <c r="B10" s="195" t="s">
        <v>107</v>
      </c>
      <c r="C10" s="196"/>
      <c r="D10" s="199" t="s">
        <v>54</v>
      </c>
      <c r="E10" s="196"/>
      <c r="F10" s="95" t="s">
        <v>108</v>
      </c>
      <c r="H10" s="207"/>
      <c r="I10" s="207"/>
      <c r="J10" s="207"/>
      <c r="K10" s="207"/>
      <c r="L10" s="42"/>
    </row>
    <row r="11" spans="2:19" s="26" customFormat="1" ht="66.75" customHeight="1" x14ac:dyDescent="0.2">
      <c r="B11" s="197" t="s">
        <v>161</v>
      </c>
      <c r="C11" s="198"/>
      <c r="D11" s="204" t="s">
        <v>46</v>
      </c>
      <c r="E11" s="198"/>
      <c r="F11" s="98" t="s">
        <v>108</v>
      </c>
      <c r="H11" s="42"/>
      <c r="I11" s="42"/>
      <c r="J11" s="42"/>
      <c r="K11" s="42"/>
      <c r="L11" s="42"/>
    </row>
    <row r="12" spans="2:19" s="26" customFormat="1" ht="20.100000000000001" customHeight="1" x14ac:dyDescent="0.2">
      <c r="B12" s="200" t="s">
        <v>104</v>
      </c>
      <c r="C12" s="201"/>
      <c r="D12" s="208" t="s">
        <v>123</v>
      </c>
      <c r="E12" s="201"/>
      <c r="F12" s="99" t="s">
        <v>108</v>
      </c>
    </row>
    <row r="13" spans="2:19" s="26" customFormat="1" ht="60" customHeight="1" x14ac:dyDescent="0.2">
      <c r="B13" s="202" t="s">
        <v>153</v>
      </c>
      <c r="C13" s="193"/>
      <c r="D13" s="193" t="s">
        <v>160</v>
      </c>
      <c r="E13" s="193"/>
      <c r="F13" s="98" t="s">
        <v>108</v>
      </c>
    </row>
    <row r="14" spans="2:19" s="26" customFormat="1" ht="20.100000000000001" customHeight="1" x14ac:dyDescent="0.2">
      <c r="B14" s="205" t="s">
        <v>149</v>
      </c>
      <c r="C14" s="206"/>
      <c r="D14" s="206" t="s">
        <v>149</v>
      </c>
      <c r="E14" s="206"/>
      <c r="F14" s="108" t="s">
        <v>108</v>
      </c>
    </row>
    <row r="15" spans="2:19" s="26" customFormat="1" ht="20.100000000000001" customHeight="1" x14ac:dyDescent="0.2">
      <c r="B15" s="202" t="s">
        <v>150</v>
      </c>
      <c r="C15" s="193"/>
      <c r="D15" s="193" t="s">
        <v>150</v>
      </c>
      <c r="E15" s="193"/>
      <c r="F15" s="98" t="s">
        <v>108</v>
      </c>
    </row>
    <row r="16" spans="2:19" s="26" customFormat="1" ht="20.100000000000001" customHeight="1" x14ac:dyDescent="0.2">
      <c r="B16" s="205" t="s">
        <v>151</v>
      </c>
      <c r="C16" s="206"/>
      <c r="D16" s="206" t="s">
        <v>151</v>
      </c>
      <c r="E16" s="206"/>
      <c r="F16" s="108" t="s">
        <v>108</v>
      </c>
    </row>
    <row r="17" spans="2:6" s="26" customFormat="1" ht="39.950000000000003" customHeight="1" x14ac:dyDescent="0.2">
      <c r="B17" s="202" t="s">
        <v>55</v>
      </c>
      <c r="C17" s="193"/>
      <c r="D17" s="193" t="s">
        <v>162</v>
      </c>
      <c r="E17" s="193"/>
      <c r="F17" s="98" t="s">
        <v>108</v>
      </c>
    </row>
    <row r="18" spans="2:6" ht="20.100000000000001" customHeight="1" thickBot="1" x14ac:dyDescent="0.3">
      <c r="B18" s="203" t="s">
        <v>132</v>
      </c>
      <c r="C18" s="194"/>
      <c r="D18" s="194" t="s">
        <v>159</v>
      </c>
      <c r="E18" s="194"/>
      <c r="F18" s="109" t="s">
        <v>9</v>
      </c>
    </row>
  </sheetData>
  <mergeCells count="43">
    <mergeCell ref="D14:E14"/>
    <mergeCell ref="B15:C15"/>
    <mergeCell ref="B16:C16"/>
    <mergeCell ref="D15:E15"/>
    <mergeCell ref="D16:E16"/>
    <mergeCell ref="B1:F1"/>
    <mergeCell ref="B2:F2"/>
    <mergeCell ref="H5:K5"/>
    <mergeCell ref="D6:E6"/>
    <mergeCell ref="H6:I6"/>
    <mergeCell ref="J6:K6"/>
    <mergeCell ref="B4:C5"/>
    <mergeCell ref="H7:I7"/>
    <mergeCell ref="J7:K7"/>
    <mergeCell ref="F4:F5"/>
    <mergeCell ref="H4:K4"/>
    <mergeCell ref="D4:E5"/>
    <mergeCell ref="H8:I8"/>
    <mergeCell ref="J8:K8"/>
    <mergeCell ref="D9:E9"/>
    <mergeCell ref="H9:I9"/>
    <mergeCell ref="J9:K9"/>
    <mergeCell ref="H10:I10"/>
    <mergeCell ref="J10:K10"/>
    <mergeCell ref="D11:E11"/>
    <mergeCell ref="D12:E12"/>
    <mergeCell ref="D13:E13"/>
    <mergeCell ref="D17:E17"/>
    <mergeCell ref="D18:E18"/>
    <mergeCell ref="B6:C6"/>
    <mergeCell ref="B7:C7"/>
    <mergeCell ref="B8:C8"/>
    <mergeCell ref="D10:E10"/>
    <mergeCell ref="D8:E8"/>
    <mergeCell ref="B9:C9"/>
    <mergeCell ref="B10:C10"/>
    <mergeCell ref="B11:C11"/>
    <mergeCell ref="B12:C12"/>
    <mergeCell ref="B13:C13"/>
    <mergeCell ref="B17:C17"/>
    <mergeCell ref="B18:C18"/>
    <mergeCell ref="D7:E7"/>
    <mergeCell ref="B14:C14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3"/>
  <sheetViews>
    <sheetView showGridLines="0" tabSelected="1" zoomScale="80" zoomScaleNormal="80" workbookViewId="0">
      <selection activeCell="G7" sqref="G7"/>
    </sheetView>
  </sheetViews>
  <sheetFormatPr defaultRowHeight="15" x14ac:dyDescent="0.25"/>
  <cols>
    <col min="2" max="5" width="48.7109375" customWidth="1"/>
  </cols>
  <sheetData>
    <row r="1" spans="2:19" ht="70.5" customHeight="1" x14ac:dyDescent="0.35">
      <c r="B1" s="139" t="s">
        <v>146</v>
      </c>
      <c r="C1" s="139"/>
      <c r="D1" s="139"/>
      <c r="E1" s="139"/>
      <c r="F1" s="81"/>
      <c r="G1" s="81"/>
      <c r="H1" s="81"/>
      <c r="I1" s="81"/>
      <c r="J1" s="81"/>
      <c r="K1" s="94"/>
      <c r="L1" s="94"/>
      <c r="M1" s="94"/>
      <c r="N1" s="94"/>
      <c r="O1" s="94"/>
    </row>
    <row r="2" spans="2:19" ht="24.95" customHeight="1" x14ac:dyDescent="0.25">
      <c r="B2" s="223" t="s">
        <v>133</v>
      </c>
      <c r="C2" s="223"/>
      <c r="D2" s="223"/>
      <c r="E2" s="223"/>
      <c r="F2" s="83"/>
      <c r="G2" s="83"/>
      <c r="H2" s="83"/>
      <c r="I2" s="83"/>
      <c r="J2" s="83"/>
      <c r="K2" s="83"/>
      <c r="L2" s="62"/>
      <c r="M2" s="62"/>
      <c r="N2" s="62"/>
      <c r="O2" s="62"/>
      <c r="P2" s="62"/>
      <c r="Q2" s="62"/>
      <c r="R2" s="62"/>
      <c r="S2" s="62"/>
    </row>
    <row r="3" spans="2:19" ht="20.100000000000001" customHeight="1" x14ac:dyDescent="0.25">
      <c r="B3" s="226" t="s">
        <v>47</v>
      </c>
      <c r="C3" s="226"/>
      <c r="D3" s="226" t="s">
        <v>48</v>
      </c>
      <c r="E3" s="226"/>
      <c r="H3" s="83"/>
      <c r="I3" s="83"/>
      <c r="J3" s="83"/>
      <c r="K3" s="83"/>
      <c r="L3" s="62"/>
      <c r="M3" s="62"/>
      <c r="N3" s="62"/>
      <c r="O3" s="62"/>
      <c r="P3" s="62"/>
      <c r="Q3" s="62"/>
      <c r="R3" s="62"/>
      <c r="S3" s="62"/>
    </row>
    <row r="4" spans="2:19" s="26" customFormat="1" ht="20.100000000000001" customHeight="1" x14ac:dyDescent="0.25">
      <c r="B4" s="123" t="s">
        <v>130</v>
      </c>
      <c r="C4" s="123" t="s">
        <v>165</v>
      </c>
      <c r="D4" s="123" t="s">
        <v>130</v>
      </c>
      <c r="E4" s="123" t="s">
        <v>166</v>
      </c>
      <c r="H4" s="42"/>
      <c r="I4" s="42"/>
      <c r="J4" s="42"/>
      <c r="K4" s="127"/>
      <c r="L4" s="127"/>
      <c r="S4"/>
    </row>
    <row r="5" spans="2:19" ht="20.100000000000001" customHeight="1" x14ac:dyDescent="0.25">
      <c r="B5" s="133" t="s">
        <v>63</v>
      </c>
      <c r="C5" s="136">
        <v>179</v>
      </c>
      <c r="D5" s="222" t="s">
        <v>167</v>
      </c>
      <c r="E5" s="222" t="s">
        <v>64</v>
      </c>
      <c r="K5" s="125"/>
      <c r="L5" s="125"/>
    </row>
    <row r="6" spans="2:19" ht="20.100000000000001" customHeight="1" x14ac:dyDescent="0.25">
      <c r="B6" s="133" t="s">
        <v>61</v>
      </c>
      <c r="C6" s="136">
        <v>3832</v>
      </c>
      <c r="D6" s="222"/>
      <c r="E6" s="222"/>
      <c r="K6" s="125"/>
      <c r="L6" s="125"/>
    </row>
    <row r="7" spans="2:19" ht="20.100000000000001" customHeight="1" x14ac:dyDescent="0.25">
      <c r="B7" s="134" t="s">
        <v>65</v>
      </c>
      <c r="C7" s="135">
        <v>3819</v>
      </c>
      <c r="D7" s="221" t="s">
        <v>168</v>
      </c>
      <c r="E7" s="221" t="s">
        <v>66</v>
      </c>
      <c r="K7" s="125"/>
      <c r="L7" s="125"/>
    </row>
    <row r="8" spans="2:19" ht="20.100000000000001" customHeight="1" x14ac:dyDescent="0.25">
      <c r="B8" s="134" t="s">
        <v>67</v>
      </c>
      <c r="C8" s="135">
        <v>3826</v>
      </c>
      <c r="D8" s="221"/>
      <c r="E8" s="221"/>
      <c r="K8" s="125"/>
      <c r="L8" s="125"/>
    </row>
    <row r="9" spans="2:19" ht="20.100000000000001" customHeight="1" x14ac:dyDescent="0.25">
      <c r="B9" s="134" t="s">
        <v>68</v>
      </c>
      <c r="C9" s="135">
        <v>3834</v>
      </c>
      <c r="D9" s="221"/>
      <c r="E9" s="221"/>
      <c r="K9" s="125"/>
      <c r="L9" s="125"/>
    </row>
    <row r="10" spans="2:19" ht="20.100000000000001" customHeight="1" x14ac:dyDescent="0.25">
      <c r="B10" s="134" t="s">
        <v>69</v>
      </c>
      <c r="C10" s="135">
        <v>3833</v>
      </c>
      <c r="D10" s="221"/>
      <c r="E10" s="221"/>
      <c r="K10" s="125"/>
      <c r="L10" s="125"/>
    </row>
    <row r="11" spans="2:19" ht="20.100000000000001" customHeight="1" x14ac:dyDescent="0.25">
      <c r="B11" s="134" t="s">
        <v>70</v>
      </c>
      <c r="C11" s="135">
        <v>9279</v>
      </c>
      <c r="D11" s="221"/>
      <c r="E11" s="221"/>
      <c r="K11" s="125"/>
      <c r="L11" s="125"/>
    </row>
    <row r="12" spans="2:19" ht="20.100000000000001" customHeight="1" x14ac:dyDescent="0.25">
      <c r="B12" s="133" t="s">
        <v>71</v>
      </c>
      <c r="C12" s="136">
        <v>3825</v>
      </c>
      <c r="D12" s="222" t="s">
        <v>169</v>
      </c>
      <c r="E12" s="222" t="s">
        <v>72</v>
      </c>
      <c r="K12" s="125"/>
      <c r="L12" s="125"/>
    </row>
    <row r="13" spans="2:19" ht="20.100000000000001" customHeight="1" x14ac:dyDescent="0.25">
      <c r="B13" s="133" t="s">
        <v>73</v>
      </c>
      <c r="C13" s="136">
        <v>3821</v>
      </c>
      <c r="D13" s="222"/>
      <c r="E13" s="222"/>
      <c r="K13" s="125"/>
      <c r="L13" s="125"/>
    </row>
    <row r="14" spans="2:19" ht="20.100000000000001" customHeight="1" x14ac:dyDescent="0.25">
      <c r="B14" s="134" t="s">
        <v>74</v>
      </c>
      <c r="C14" s="135">
        <v>3822</v>
      </c>
      <c r="D14" s="221" t="s">
        <v>170</v>
      </c>
      <c r="E14" s="221" t="s">
        <v>75</v>
      </c>
      <c r="K14" s="125"/>
      <c r="L14" s="125"/>
    </row>
    <row r="15" spans="2:19" ht="20.100000000000001" customHeight="1" x14ac:dyDescent="0.25">
      <c r="B15" s="134" t="s">
        <v>76</v>
      </c>
      <c r="C15" s="135">
        <v>3824</v>
      </c>
      <c r="D15" s="221"/>
      <c r="E15" s="221"/>
      <c r="K15" s="125"/>
      <c r="L15" s="125"/>
    </row>
    <row r="16" spans="2:19" ht="20.100000000000001" customHeight="1" x14ac:dyDescent="0.25">
      <c r="B16" s="134" t="s">
        <v>77</v>
      </c>
      <c r="C16" s="135">
        <v>4314</v>
      </c>
      <c r="D16" s="221"/>
      <c r="E16" s="221"/>
      <c r="K16" s="125"/>
      <c r="L16" s="125"/>
    </row>
    <row r="17" spans="2:12" ht="20.100000000000001" customHeight="1" x14ac:dyDescent="0.25">
      <c r="B17" s="134" t="s">
        <v>78</v>
      </c>
      <c r="C17" s="135">
        <v>3831</v>
      </c>
      <c r="D17" s="221"/>
      <c r="E17" s="221"/>
      <c r="K17" s="125"/>
      <c r="L17" s="125"/>
    </row>
    <row r="18" spans="2:12" ht="20.100000000000001" customHeight="1" x14ac:dyDescent="0.25">
      <c r="B18" s="133" t="s">
        <v>79</v>
      </c>
      <c r="C18" s="136">
        <v>4313</v>
      </c>
      <c r="D18" s="222" t="s">
        <v>171</v>
      </c>
      <c r="E18" s="222" t="s">
        <v>80</v>
      </c>
      <c r="K18" s="125"/>
      <c r="L18" s="125"/>
    </row>
    <row r="19" spans="2:12" ht="20.100000000000001" customHeight="1" x14ac:dyDescent="0.25">
      <c r="B19" s="133" t="s">
        <v>81</v>
      </c>
      <c r="C19" s="136">
        <v>3823</v>
      </c>
      <c r="D19" s="222"/>
      <c r="E19" s="222"/>
      <c r="K19" s="125"/>
      <c r="L19" s="125"/>
    </row>
    <row r="20" spans="2:12" ht="20.100000000000001" customHeight="1" x14ac:dyDescent="0.25">
      <c r="B20" s="134" t="s">
        <v>82</v>
      </c>
      <c r="C20" s="135">
        <v>3820</v>
      </c>
      <c r="D20" s="221" t="s">
        <v>172</v>
      </c>
      <c r="E20" s="221" t="s">
        <v>83</v>
      </c>
      <c r="K20" s="125"/>
      <c r="L20" s="125"/>
    </row>
    <row r="21" spans="2:12" ht="20.100000000000001" customHeight="1" x14ac:dyDescent="0.25">
      <c r="B21" s="134" t="s">
        <v>84</v>
      </c>
      <c r="C21" s="135">
        <v>4312</v>
      </c>
      <c r="D21" s="221"/>
      <c r="E21" s="221"/>
      <c r="K21" s="125"/>
      <c r="L21" s="125"/>
    </row>
    <row r="22" spans="2:12" ht="20.100000000000001" customHeight="1" x14ac:dyDescent="0.25">
      <c r="B22" s="133" t="s">
        <v>85</v>
      </c>
      <c r="C22" s="136">
        <v>3829</v>
      </c>
      <c r="D22" s="222" t="s">
        <v>173</v>
      </c>
      <c r="E22" s="222" t="s">
        <v>86</v>
      </c>
      <c r="K22" s="125"/>
      <c r="L22" s="125"/>
    </row>
    <row r="23" spans="2:12" ht="20.100000000000001" customHeight="1" x14ac:dyDescent="0.25">
      <c r="B23" s="133" t="s">
        <v>87</v>
      </c>
      <c r="C23" s="136">
        <v>3835</v>
      </c>
      <c r="D23" s="222"/>
      <c r="E23" s="222"/>
      <c r="K23" s="125"/>
      <c r="L23" s="125"/>
    </row>
    <row r="24" spans="2:12" ht="20.100000000000001" customHeight="1" x14ac:dyDescent="0.25">
      <c r="B24" s="134" t="s">
        <v>88</v>
      </c>
      <c r="C24" s="135">
        <v>3830</v>
      </c>
      <c r="D24" s="135" t="s">
        <v>88</v>
      </c>
      <c r="E24" s="135" t="s">
        <v>89</v>
      </c>
      <c r="K24" s="125"/>
      <c r="L24" s="125"/>
    </row>
    <row r="25" spans="2:12" ht="20.100000000000001" customHeight="1" x14ac:dyDescent="0.25">
      <c r="B25" s="133" t="s">
        <v>100</v>
      </c>
      <c r="C25" s="137"/>
      <c r="D25" s="224" t="s">
        <v>174</v>
      </c>
      <c r="E25" s="224" t="s">
        <v>91</v>
      </c>
      <c r="K25" s="125"/>
      <c r="L25" s="125"/>
    </row>
    <row r="26" spans="2:12" ht="20.100000000000001" customHeight="1" x14ac:dyDescent="0.25">
      <c r="B26" s="133" t="s">
        <v>90</v>
      </c>
      <c r="C26" s="138">
        <v>3818</v>
      </c>
      <c r="D26" s="225"/>
      <c r="E26" s="225"/>
      <c r="K26" s="125"/>
      <c r="L26" s="125"/>
    </row>
    <row r="27" spans="2:12" ht="20.100000000000001" customHeight="1" x14ac:dyDescent="0.25">
      <c r="B27" s="134" t="s">
        <v>92</v>
      </c>
      <c r="C27" s="135">
        <v>4704</v>
      </c>
      <c r="D27" s="227" t="s">
        <v>175</v>
      </c>
      <c r="E27" s="221" t="s">
        <v>93</v>
      </c>
      <c r="K27" s="125"/>
      <c r="L27" s="125"/>
    </row>
    <row r="28" spans="2:12" ht="20.100000000000001" customHeight="1" x14ac:dyDescent="0.25">
      <c r="B28" s="134" t="s">
        <v>94</v>
      </c>
      <c r="C28" s="135">
        <v>3828</v>
      </c>
      <c r="D28" s="228"/>
      <c r="E28" s="221"/>
      <c r="K28" s="125"/>
      <c r="L28" s="125"/>
    </row>
    <row r="29" spans="2:12" ht="20.100000000000001" customHeight="1" x14ac:dyDescent="0.25">
      <c r="B29" s="134" t="s">
        <v>95</v>
      </c>
      <c r="C29" s="135">
        <v>3827</v>
      </c>
      <c r="D29" s="229"/>
      <c r="E29" s="221"/>
      <c r="K29" s="125"/>
      <c r="L29" s="125"/>
    </row>
    <row r="30" spans="2:12" ht="20.100000000000001" customHeight="1" x14ac:dyDescent="0.25">
      <c r="B30" s="133" t="s">
        <v>96</v>
      </c>
      <c r="C30" s="136">
        <v>4864</v>
      </c>
      <c r="D30" s="136" t="s">
        <v>96</v>
      </c>
      <c r="E30" s="136" t="s">
        <v>97</v>
      </c>
    </row>
    <row r="31" spans="2:12" ht="20.100000000000001" customHeight="1" x14ac:dyDescent="0.25">
      <c r="B31" s="134" t="s">
        <v>98</v>
      </c>
      <c r="C31" s="135">
        <v>4862</v>
      </c>
      <c r="D31" s="135" t="s">
        <v>98</v>
      </c>
      <c r="E31" s="135" t="s">
        <v>99</v>
      </c>
    </row>
    <row r="32" spans="2:12" ht="15" customHeight="1" x14ac:dyDescent="0.25">
      <c r="B32" s="45"/>
      <c r="C32" s="46"/>
    </row>
    <row r="33" spans="2:3" ht="15" customHeight="1" x14ac:dyDescent="0.25">
      <c r="B33" s="45"/>
      <c r="C33" s="46"/>
    </row>
  </sheetData>
  <mergeCells count="22">
    <mergeCell ref="E20:E21"/>
    <mergeCell ref="E22:E23"/>
    <mergeCell ref="E25:E26"/>
    <mergeCell ref="E27:E29"/>
    <mergeCell ref="B3:C3"/>
    <mergeCell ref="D3:E3"/>
    <mergeCell ref="D20:D21"/>
    <mergeCell ref="D22:D23"/>
    <mergeCell ref="D25:D26"/>
    <mergeCell ref="D27:D29"/>
    <mergeCell ref="E5:E6"/>
    <mergeCell ref="E7:E11"/>
    <mergeCell ref="E12:E13"/>
    <mergeCell ref="E14:E17"/>
    <mergeCell ref="E18:E19"/>
    <mergeCell ref="D5:D6"/>
    <mergeCell ref="D7:D11"/>
    <mergeCell ref="D12:D13"/>
    <mergeCell ref="D14:D17"/>
    <mergeCell ref="D18:D19"/>
    <mergeCell ref="B1:E1"/>
    <mergeCell ref="B2:E2"/>
  </mergeCells>
  <pageMargins left="0.25" right="0.25" top="0.75" bottom="0.75" header="0.3" footer="0.3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"/>
  <sheetViews>
    <sheetView showGridLines="0" zoomScale="80" zoomScaleNormal="80" workbookViewId="0">
      <selection activeCell="E13" sqref="E13"/>
    </sheetView>
  </sheetViews>
  <sheetFormatPr defaultRowHeight="15" x14ac:dyDescent="0.25"/>
  <cols>
    <col min="2" max="3" width="48.7109375" style="26" customWidth="1"/>
    <col min="4" max="14" width="11.7109375" style="26" customWidth="1"/>
  </cols>
  <sheetData>
    <row r="1" spans="2:19" ht="70.5" customHeight="1" x14ac:dyDescent="0.35">
      <c r="B1" s="139" t="s">
        <v>147</v>
      </c>
      <c r="C1" s="139"/>
      <c r="D1" s="81"/>
      <c r="E1" s="81"/>
      <c r="F1" s="81"/>
      <c r="G1" s="81"/>
      <c r="H1" s="81"/>
      <c r="I1" s="81"/>
      <c r="J1" s="81"/>
      <c r="K1" s="94"/>
      <c r="L1" s="94"/>
      <c r="M1" s="94"/>
      <c r="N1" s="94"/>
      <c r="O1" s="94"/>
    </row>
    <row r="2" spans="2:19" ht="24.95" customHeight="1" x14ac:dyDescent="0.25">
      <c r="B2" s="140" t="s">
        <v>136</v>
      </c>
      <c r="C2" s="140"/>
      <c r="D2" s="83"/>
      <c r="E2" s="83"/>
      <c r="F2" s="83"/>
      <c r="G2" s="83"/>
      <c r="H2" s="83"/>
      <c r="I2" s="83"/>
      <c r="J2" s="83"/>
      <c r="K2" s="83"/>
      <c r="L2" s="62"/>
      <c r="M2" s="62"/>
      <c r="N2" s="62"/>
      <c r="O2" s="62"/>
      <c r="P2" s="62"/>
      <c r="Q2" s="62"/>
      <c r="R2" s="62"/>
      <c r="S2" s="62"/>
    </row>
    <row r="3" spans="2:19" s="26" customFormat="1" x14ac:dyDescent="0.25">
      <c r="B3"/>
      <c r="C3"/>
      <c r="H3" s="42"/>
      <c r="I3" s="42"/>
      <c r="J3" s="42"/>
      <c r="K3" s="42"/>
      <c r="L3" s="42"/>
      <c r="S3"/>
    </row>
    <row r="4" spans="2:19" s="26" customFormat="1" ht="20.100000000000001" customHeight="1" x14ac:dyDescent="0.2">
      <c r="B4" s="232" t="s">
        <v>57</v>
      </c>
      <c r="C4" s="232"/>
    </row>
    <row r="5" spans="2:19" s="26" customFormat="1" ht="20.100000000000001" customHeight="1" x14ac:dyDescent="0.2">
      <c r="B5" s="230" t="s">
        <v>58</v>
      </c>
      <c r="C5" s="230"/>
    </row>
    <row r="6" spans="2:19" s="26" customFormat="1" ht="20.100000000000001" customHeight="1" x14ac:dyDescent="0.2">
      <c r="B6" s="231" t="s">
        <v>59</v>
      </c>
      <c r="C6" s="231"/>
    </row>
    <row r="7" spans="2:19" s="26" customFormat="1" ht="20.100000000000001" customHeight="1" x14ac:dyDescent="0.2">
      <c r="B7" s="230" t="s">
        <v>60</v>
      </c>
      <c r="C7" s="230"/>
    </row>
    <row r="8" spans="2:19" s="26" customFormat="1" ht="20.100000000000001" customHeight="1" x14ac:dyDescent="0.2">
      <c r="B8" s="231" t="s">
        <v>62</v>
      </c>
      <c r="C8" s="231"/>
    </row>
    <row r="9" spans="2:19" s="26" customFormat="1" ht="20.100000000000001" customHeight="1" x14ac:dyDescent="0.2">
      <c r="B9" s="230" t="s">
        <v>61</v>
      </c>
      <c r="C9" s="230"/>
    </row>
    <row r="10" spans="2:19" s="26" customFormat="1" ht="20.100000000000001" customHeight="1" x14ac:dyDescent="0.2">
      <c r="B10" s="100"/>
      <c r="C10" s="100"/>
    </row>
    <row r="11" spans="2:19" s="26" customFormat="1" ht="20.100000000000001" customHeight="1" x14ac:dyDescent="0.2">
      <c r="B11" s="140" t="s">
        <v>137</v>
      </c>
      <c r="C11" s="140"/>
    </row>
    <row r="12" spans="2:19" x14ac:dyDescent="0.25">
      <c r="L12"/>
      <c r="M12"/>
      <c r="N12"/>
    </row>
    <row r="13" spans="2:19" ht="18.75" customHeight="1" x14ac:dyDescent="0.25">
      <c r="B13" s="230" t="s">
        <v>134</v>
      </c>
      <c r="C13" s="230"/>
      <c r="K13"/>
      <c r="L13"/>
      <c r="M13"/>
      <c r="N13"/>
    </row>
    <row r="14" spans="2:19" ht="18.75" customHeight="1" x14ac:dyDescent="0.25">
      <c r="B14" s="231" t="s">
        <v>135</v>
      </c>
      <c r="C14" s="231"/>
    </row>
  </sheetData>
  <mergeCells count="11">
    <mergeCell ref="B1:C1"/>
    <mergeCell ref="B2:C2"/>
    <mergeCell ref="B6:C6"/>
    <mergeCell ref="B7:C7"/>
    <mergeCell ref="B4:C4"/>
    <mergeCell ref="B5:C5"/>
    <mergeCell ref="B9:C9"/>
    <mergeCell ref="B13:C13"/>
    <mergeCell ref="B14:C14"/>
    <mergeCell ref="B8:C8"/>
    <mergeCell ref="B11:C11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zoomScale="80" zoomScaleNormal="80" workbookViewId="0">
      <selection activeCell="H19" sqref="H19"/>
    </sheetView>
  </sheetViews>
  <sheetFormatPr defaultRowHeight="15" x14ac:dyDescent="0.25"/>
  <cols>
    <col min="2" max="2" width="25.28515625" style="26" customWidth="1"/>
    <col min="3" max="14" width="11.85546875" style="26" customWidth="1"/>
    <col min="15" max="17" width="11.85546875" customWidth="1"/>
  </cols>
  <sheetData>
    <row r="1" spans="1:19" ht="70.5" customHeight="1" x14ac:dyDescent="0.35">
      <c r="B1" s="139" t="s">
        <v>154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9" ht="24.95" customHeight="1" x14ac:dyDescent="0.25">
      <c r="B2" s="140" t="s">
        <v>157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10"/>
      <c r="S2" s="110"/>
    </row>
    <row r="3" spans="1:19" s="26" customFormat="1" ht="15.75" thickBot="1" x14ac:dyDescent="0.3">
      <c r="B3"/>
      <c r="C3"/>
      <c r="H3" s="42"/>
      <c r="I3" s="42"/>
      <c r="J3" s="42"/>
      <c r="K3" s="42"/>
      <c r="L3" s="42"/>
      <c r="S3"/>
    </row>
    <row r="4" spans="1:19" s="111" customFormat="1" ht="20.100000000000001" customHeight="1" thickBot="1" x14ac:dyDescent="0.25">
      <c r="B4" s="27" t="s">
        <v>155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9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30" t="s">
        <v>15</v>
      </c>
    </row>
    <row r="5" spans="1:19" s="111" customFormat="1" ht="20.100000000000001" customHeight="1" thickBot="1" x14ac:dyDescent="0.25">
      <c r="A5" s="116" t="s">
        <v>156</v>
      </c>
      <c r="B5" s="115" t="s">
        <v>17</v>
      </c>
      <c r="C5" s="32">
        <f>C6*1.12</f>
        <v>1091.685391104</v>
      </c>
      <c r="D5" s="34">
        <f>C5*1.08</f>
        <v>1179.0202223923202</v>
      </c>
      <c r="E5" s="33">
        <f>D5*1.04</f>
        <v>1226.1810312880129</v>
      </c>
      <c r="F5" s="33">
        <f t="shared" ref="F5:N6" si="0">E5*1.04</f>
        <v>1275.2282725395335</v>
      </c>
      <c r="G5" s="33">
        <f t="shared" si="0"/>
        <v>1326.2374034411148</v>
      </c>
      <c r="H5" s="33">
        <f>G5*1.04</f>
        <v>1379.2868995787594</v>
      </c>
      <c r="I5" s="33">
        <f t="shared" si="0"/>
        <v>1434.4583755619099</v>
      </c>
      <c r="J5" s="33">
        <f t="shared" si="0"/>
        <v>1491.8367105843863</v>
      </c>
      <c r="K5" s="33">
        <f t="shared" si="0"/>
        <v>1551.5101790077617</v>
      </c>
      <c r="L5" s="33">
        <f t="shared" si="0"/>
        <v>1613.5705861680722</v>
      </c>
      <c r="M5" s="33">
        <f t="shared" si="0"/>
        <v>1678.113409614795</v>
      </c>
      <c r="N5" s="33">
        <f t="shared" si="0"/>
        <v>1745.237945999387</v>
      </c>
      <c r="O5" s="35"/>
      <c r="P5" s="35"/>
      <c r="Q5" s="36"/>
    </row>
    <row r="6" spans="1:19" s="111" customFormat="1" ht="20.100000000000001" customHeight="1" thickBot="1" x14ac:dyDescent="0.25">
      <c r="B6" s="37" t="s">
        <v>9</v>
      </c>
      <c r="C6" s="38">
        <f>(819.56*1.0812)*1.1</f>
        <v>974.71909919999996</v>
      </c>
      <c r="D6" s="39">
        <f>C6*1.04</f>
        <v>1013.707863168</v>
      </c>
      <c r="E6" s="39">
        <f>D6*1.04</f>
        <v>1054.25617769472</v>
      </c>
      <c r="F6" s="39">
        <f t="shared" si="0"/>
        <v>1096.4264248025088</v>
      </c>
      <c r="G6" s="39">
        <f t="shared" si="0"/>
        <v>1140.2834817946091</v>
      </c>
      <c r="H6" s="39">
        <f t="shared" si="0"/>
        <v>1185.8948210663934</v>
      </c>
      <c r="I6" s="39">
        <f t="shared" si="0"/>
        <v>1233.3306139090491</v>
      </c>
      <c r="J6" s="39">
        <f t="shared" si="0"/>
        <v>1282.6638384654111</v>
      </c>
      <c r="K6" s="39">
        <f t="shared" si="0"/>
        <v>1333.9703920040276</v>
      </c>
      <c r="L6" s="39">
        <f t="shared" si="0"/>
        <v>1387.3292076841888</v>
      </c>
      <c r="M6" s="39">
        <f>L6*1.04</f>
        <v>1442.8223759915563</v>
      </c>
      <c r="N6" s="39">
        <f>M6*1.04</f>
        <v>1500.5352710312186</v>
      </c>
      <c r="O6" s="39">
        <f t="shared" ref="O6:Q6" si="1">N6*1.04</f>
        <v>1560.5566818724674</v>
      </c>
      <c r="P6" s="39">
        <f t="shared" si="1"/>
        <v>1622.9789491473662</v>
      </c>
      <c r="Q6" s="40">
        <f t="shared" si="1"/>
        <v>1687.8981071132609</v>
      </c>
    </row>
    <row r="7" spans="1:19" s="111" customFormat="1" ht="20.100000000000001" customHeight="1" x14ac:dyDescent="0.2">
      <c r="B7" s="233" t="s">
        <v>148</v>
      </c>
      <c r="C7" s="234"/>
      <c r="D7" s="102">
        <v>1.1200000000000001</v>
      </c>
      <c r="E7" s="103">
        <v>1.04</v>
      </c>
      <c r="F7" s="104">
        <v>1.08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9" s="111" customFormat="1" ht="18.75" customHeight="1" x14ac:dyDescent="0.2">
      <c r="B8" s="112"/>
      <c r="C8" s="112"/>
    </row>
    <row r="9" spans="1:19" s="111" customFormat="1" ht="20.100000000000001" customHeight="1" x14ac:dyDescent="0.2">
      <c r="B9" s="112"/>
      <c r="C9" s="112"/>
    </row>
    <row r="10" spans="1:19" s="111" customFormat="1" ht="20.100000000000001" customHeight="1" x14ac:dyDescent="0.2">
      <c r="B10" s="140" t="s">
        <v>158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</row>
    <row r="11" spans="1:19" s="111" customFormat="1" ht="20.100000000000001" customHeight="1" thickBot="1" x14ac:dyDescent="0.25">
      <c r="B11" s="113"/>
      <c r="C11" s="113"/>
    </row>
    <row r="12" spans="1:19" s="114" customFormat="1" ht="20.25" customHeight="1" thickBot="1" x14ac:dyDescent="0.3">
      <c r="A12" s="111"/>
      <c r="B12" s="27" t="s">
        <v>155</v>
      </c>
      <c r="C12" s="28" t="s">
        <v>1</v>
      </c>
      <c r="D12" s="28" t="s">
        <v>2</v>
      </c>
      <c r="E12" s="28" t="s">
        <v>3</v>
      </c>
      <c r="F12" s="28" t="s">
        <v>4</v>
      </c>
      <c r="G12" s="28" t="s">
        <v>5</v>
      </c>
      <c r="H12" s="29" t="s">
        <v>6</v>
      </c>
      <c r="I12" s="28" t="s">
        <v>7</v>
      </c>
      <c r="J12" s="28" t="s">
        <v>8</v>
      </c>
      <c r="K12" s="28" t="s">
        <v>9</v>
      </c>
      <c r="L12" s="28" t="s">
        <v>10</v>
      </c>
      <c r="M12" s="28" t="s">
        <v>11</v>
      </c>
      <c r="N12" s="28" t="s">
        <v>12</v>
      </c>
      <c r="O12" s="28" t="s">
        <v>13</v>
      </c>
      <c r="P12" s="28" t="s">
        <v>14</v>
      </c>
      <c r="Q12" s="30" t="s">
        <v>15</v>
      </c>
    </row>
    <row r="13" spans="1:19" s="114" customFormat="1" ht="19.5" customHeight="1" thickBot="1" x14ac:dyDescent="0.3">
      <c r="A13" s="116" t="s">
        <v>156</v>
      </c>
      <c r="B13" s="115" t="s">
        <v>17</v>
      </c>
      <c r="C13" s="32">
        <f>C14*1.12</f>
        <v>1190.9295175680002</v>
      </c>
      <c r="D13" s="34">
        <f>C13*1.08</f>
        <v>1286.2038789734402</v>
      </c>
      <c r="E13" s="33">
        <f>D13*1.04</f>
        <v>1337.6520341323778</v>
      </c>
      <c r="F13" s="33">
        <f t="shared" ref="F13:F14" si="2">E13*1.04</f>
        <v>1391.158115497673</v>
      </c>
      <c r="G13" s="33">
        <f t="shared" ref="G13:G14" si="3">F13*1.04</f>
        <v>1446.8044401175798</v>
      </c>
      <c r="H13" s="33">
        <f>G13*1.04</f>
        <v>1504.676617722283</v>
      </c>
      <c r="I13" s="33">
        <f t="shared" ref="I13:I14" si="4">H13*1.04</f>
        <v>1564.8636824311743</v>
      </c>
      <c r="J13" s="33">
        <f t="shared" ref="J13:J14" si="5">I13*1.04</f>
        <v>1627.4582297284214</v>
      </c>
      <c r="K13" s="33">
        <f t="shared" ref="K13:K14" si="6">J13*1.04</f>
        <v>1692.5565589175583</v>
      </c>
      <c r="L13" s="33">
        <f t="shared" ref="L13:L14" si="7">K13*1.04</f>
        <v>1760.2588212742608</v>
      </c>
      <c r="M13" s="33">
        <f t="shared" ref="M13" si="8">L13*1.04</f>
        <v>1830.6691741252312</v>
      </c>
      <c r="N13" s="33">
        <f t="shared" ref="N13" si="9">M13*1.04</f>
        <v>1903.8959410902405</v>
      </c>
      <c r="O13" s="35"/>
      <c r="P13" s="35"/>
      <c r="Q13" s="36"/>
    </row>
    <row r="14" spans="1:19" s="114" customFormat="1" ht="19.5" customHeight="1" thickBot="1" x14ac:dyDescent="0.3">
      <c r="A14" s="111"/>
      <c r="B14" s="37" t="s">
        <v>9</v>
      </c>
      <c r="C14" s="38">
        <f>(819.56*1.0812)*1.2</f>
        <v>1063.3299264</v>
      </c>
      <c r="D14" s="39">
        <f>C14*1.04</f>
        <v>1105.863123456</v>
      </c>
      <c r="E14" s="39">
        <f>D14*1.04</f>
        <v>1150.09764839424</v>
      </c>
      <c r="F14" s="39">
        <f t="shared" si="2"/>
        <v>1196.1015543300095</v>
      </c>
      <c r="G14" s="39">
        <f t="shared" si="3"/>
        <v>1243.94561650321</v>
      </c>
      <c r="H14" s="39">
        <f t="shared" ref="H14" si="10">G14*1.04</f>
        <v>1293.7034411633383</v>
      </c>
      <c r="I14" s="39">
        <f t="shared" si="4"/>
        <v>1345.451578809872</v>
      </c>
      <c r="J14" s="39">
        <f t="shared" si="5"/>
        <v>1399.2696419622669</v>
      </c>
      <c r="K14" s="39">
        <f t="shared" si="6"/>
        <v>1455.2404276407576</v>
      </c>
      <c r="L14" s="39">
        <f t="shared" si="7"/>
        <v>1513.4500447463879</v>
      </c>
      <c r="M14" s="39">
        <f>L14*1.04</f>
        <v>1573.9880465362435</v>
      </c>
      <c r="N14" s="39">
        <f>M14*1.04</f>
        <v>1636.9475683976932</v>
      </c>
      <c r="O14" s="39">
        <f t="shared" ref="O14" si="11">N14*1.04</f>
        <v>1702.4254711336009</v>
      </c>
      <c r="P14" s="39">
        <f t="shared" ref="P14" si="12">O14*1.04</f>
        <v>1770.522489978945</v>
      </c>
      <c r="Q14" s="40">
        <f t="shared" ref="Q14" si="13">P14*1.04</f>
        <v>1841.3433895781029</v>
      </c>
    </row>
    <row r="15" spans="1:19" s="114" customFormat="1" ht="19.5" customHeight="1" x14ac:dyDescent="0.25">
      <c r="A15" s="111"/>
      <c r="B15" s="233" t="s">
        <v>148</v>
      </c>
      <c r="C15" s="234"/>
      <c r="D15" s="102">
        <v>1.1200000000000001</v>
      </c>
      <c r="E15" s="103">
        <v>1.04</v>
      </c>
      <c r="F15" s="104">
        <v>1.08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9" s="114" customFormat="1" x14ac:dyDescent="0.25"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7" ht="15.75" x14ac:dyDescent="0.25">
      <c r="A17" s="114"/>
      <c r="B17" s="112"/>
      <c r="C17" s="112"/>
      <c r="D17" s="111"/>
      <c r="E17" s="111"/>
      <c r="F17" s="111"/>
      <c r="G17" s="111"/>
      <c r="H17" s="111"/>
      <c r="I17" s="111"/>
      <c r="J17" s="111"/>
      <c r="K17" s="114"/>
      <c r="L17" s="114"/>
      <c r="M17" s="114"/>
      <c r="N17" s="114"/>
      <c r="O17" s="114"/>
      <c r="P17" s="114"/>
      <c r="Q17" s="114"/>
    </row>
    <row r="18" spans="1:17" ht="15.75" x14ac:dyDescent="0.25">
      <c r="A18" s="114"/>
      <c r="B18" s="112"/>
      <c r="C18" s="112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4"/>
      <c r="P18" s="114"/>
      <c r="Q18" s="114"/>
    </row>
    <row r="19" spans="1:17" x14ac:dyDescent="0.25">
      <c r="A19" s="114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4"/>
      <c r="P19" s="114"/>
      <c r="Q19" s="114"/>
    </row>
    <row r="20" spans="1:17" x14ac:dyDescent="0.25">
      <c r="A20" s="114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4"/>
      <c r="P20" s="114"/>
      <c r="Q20" s="114"/>
    </row>
  </sheetData>
  <mergeCells count="5">
    <mergeCell ref="B15:C15"/>
    <mergeCell ref="B7:C7"/>
    <mergeCell ref="B2:Q2"/>
    <mergeCell ref="B1:Q1"/>
    <mergeCell ref="B10:Q10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"/>
  <sheetViews>
    <sheetView showGridLines="0" zoomScale="80" zoomScaleNormal="80" workbookViewId="0">
      <selection activeCell="H13" sqref="H13"/>
    </sheetView>
  </sheetViews>
  <sheetFormatPr defaultRowHeight="15" x14ac:dyDescent="0.25"/>
  <cols>
    <col min="1" max="1" width="9.140625" style="125"/>
    <col min="2" max="3" width="24.7109375" style="125" customWidth="1"/>
    <col min="4" max="5" width="24.7109375" style="126" customWidth="1"/>
    <col min="6" max="17" width="11.7109375" style="126" customWidth="1"/>
    <col min="18" max="16384" width="9.140625" style="125"/>
  </cols>
  <sheetData>
    <row r="1" spans="2:18" ht="70.5" customHeight="1" x14ac:dyDescent="0.35">
      <c r="B1" s="139" t="s">
        <v>176</v>
      </c>
      <c r="C1" s="139"/>
      <c r="D1" s="139"/>
      <c r="E1" s="139"/>
      <c r="F1" s="130"/>
      <c r="G1" s="130"/>
      <c r="H1" s="130"/>
      <c r="I1" s="130"/>
      <c r="J1" s="132"/>
      <c r="K1" s="132"/>
      <c r="L1" s="132"/>
      <c r="M1" s="132"/>
      <c r="N1" s="132"/>
      <c r="O1" s="125"/>
      <c r="P1" s="125"/>
      <c r="Q1" s="125"/>
    </row>
    <row r="2" spans="2:18" ht="24.95" customHeight="1" x14ac:dyDescent="0.25">
      <c r="B2" s="140" t="s">
        <v>181</v>
      </c>
      <c r="C2" s="140"/>
      <c r="D2" s="140"/>
      <c r="E2" s="140"/>
      <c r="F2" s="131"/>
      <c r="G2" s="131"/>
      <c r="H2" s="131"/>
      <c r="I2" s="131"/>
      <c r="J2" s="131"/>
      <c r="K2" s="129"/>
      <c r="L2" s="129"/>
      <c r="M2" s="129"/>
      <c r="N2" s="129"/>
      <c r="O2" s="129"/>
      <c r="P2" s="129"/>
      <c r="Q2" s="129"/>
      <c r="R2" s="129"/>
    </row>
    <row r="3" spans="2:18" s="126" customFormat="1" ht="15.75" thickBot="1" x14ac:dyDescent="0.3">
      <c r="B3" s="125"/>
      <c r="C3" s="125"/>
      <c r="G3" s="127"/>
      <c r="H3" s="127"/>
      <c r="I3" s="127"/>
      <c r="J3" s="127"/>
      <c r="K3" s="127"/>
      <c r="R3" s="125"/>
    </row>
    <row r="4" spans="2:18" s="126" customFormat="1" ht="20.100000000000001" customHeight="1" x14ac:dyDescent="0.2">
      <c r="B4" s="219" t="s">
        <v>177</v>
      </c>
      <c r="C4" s="213"/>
      <c r="D4" s="212" t="s">
        <v>178</v>
      </c>
      <c r="E4" s="213"/>
      <c r="G4" s="211"/>
      <c r="H4" s="211"/>
      <c r="I4" s="211"/>
      <c r="J4" s="211"/>
      <c r="K4" s="127"/>
    </row>
    <row r="5" spans="2:18" s="126" customFormat="1" ht="20.100000000000001" customHeight="1" x14ac:dyDescent="0.2">
      <c r="B5" s="220"/>
      <c r="C5" s="215"/>
      <c r="D5" s="214"/>
      <c r="E5" s="215"/>
      <c r="G5" s="216"/>
      <c r="H5" s="216"/>
      <c r="I5" s="216"/>
      <c r="J5" s="216"/>
      <c r="K5" s="127"/>
    </row>
    <row r="6" spans="2:18" s="126" customFormat="1" ht="20.100000000000001" customHeight="1" x14ac:dyDescent="0.2">
      <c r="B6" s="195"/>
      <c r="C6" s="196"/>
      <c r="D6" s="199" t="s">
        <v>51</v>
      </c>
      <c r="E6" s="196"/>
      <c r="G6" s="207"/>
      <c r="H6" s="207"/>
      <c r="I6" s="207"/>
      <c r="J6" s="207"/>
      <c r="K6" s="127"/>
    </row>
    <row r="7" spans="2:18" s="126" customFormat="1" ht="20.100000000000001" customHeight="1" x14ac:dyDescent="0.2">
      <c r="B7" s="197"/>
      <c r="C7" s="198"/>
      <c r="D7" s="204" t="s">
        <v>53</v>
      </c>
      <c r="E7" s="198"/>
      <c r="G7" s="207"/>
      <c r="H7" s="207"/>
      <c r="I7" s="207"/>
      <c r="J7" s="207"/>
      <c r="K7" s="127"/>
    </row>
    <row r="8" spans="2:18" s="126" customFormat="1" ht="20.100000000000001" customHeight="1" x14ac:dyDescent="0.2">
      <c r="B8" s="195"/>
      <c r="C8" s="196"/>
      <c r="D8" s="199" t="s">
        <v>54</v>
      </c>
      <c r="E8" s="196"/>
      <c r="G8" s="207"/>
      <c r="H8" s="207"/>
      <c r="I8" s="207"/>
      <c r="J8" s="207"/>
      <c r="K8" s="127"/>
    </row>
    <row r="9" spans="2:18" s="126" customFormat="1" ht="38.25" customHeight="1" x14ac:dyDescent="0.2">
      <c r="B9" s="197"/>
      <c r="C9" s="198"/>
      <c r="D9" s="204" t="s">
        <v>46</v>
      </c>
      <c r="E9" s="198"/>
      <c r="G9" s="127"/>
      <c r="H9" s="127"/>
      <c r="I9" s="127"/>
      <c r="J9" s="127"/>
      <c r="K9" s="127"/>
    </row>
    <row r="10" spans="2:18" s="126" customFormat="1" ht="20.100000000000001" customHeight="1" x14ac:dyDescent="0.2">
      <c r="B10" s="200"/>
      <c r="C10" s="201"/>
      <c r="D10" s="208" t="s">
        <v>123</v>
      </c>
      <c r="E10" s="201"/>
    </row>
    <row r="11" spans="2:18" s="126" customFormat="1" ht="20.100000000000001" customHeight="1" x14ac:dyDescent="0.2">
      <c r="B11" s="202"/>
      <c r="C11" s="193"/>
      <c r="D11" s="193" t="s">
        <v>160</v>
      </c>
      <c r="E11" s="193"/>
    </row>
    <row r="12" spans="2:18" s="126" customFormat="1" ht="20.100000000000001" customHeight="1" x14ac:dyDescent="0.2">
      <c r="B12" s="205"/>
      <c r="C12" s="206"/>
      <c r="D12" s="206" t="s">
        <v>149</v>
      </c>
      <c r="E12" s="206"/>
    </row>
    <row r="13" spans="2:18" s="126" customFormat="1" ht="20.100000000000001" customHeight="1" x14ac:dyDescent="0.2">
      <c r="B13" s="202"/>
      <c r="C13" s="193"/>
      <c r="D13" s="193" t="s">
        <v>150</v>
      </c>
      <c r="E13" s="193"/>
    </row>
    <row r="14" spans="2:18" s="126" customFormat="1" ht="20.100000000000001" customHeight="1" x14ac:dyDescent="0.2">
      <c r="B14" s="205"/>
      <c r="C14" s="206"/>
      <c r="D14" s="206" t="s">
        <v>151</v>
      </c>
      <c r="E14" s="206"/>
    </row>
    <row r="15" spans="2:18" s="126" customFormat="1" ht="20.100000000000001" customHeight="1" x14ac:dyDescent="0.2">
      <c r="B15" s="202"/>
      <c r="C15" s="193"/>
      <c r="D15" s="193" t="s">
        <v>162</v>
      </c>
      <c r="E15" s="193"/>
    </row>
    <row r="16" spans="2:18" s="126" customFormat="1" ht="20.100000000000001" customHeight="1" thickBot="1" x14ac:dyDescent="0.3">
      <c r="B16" s="203"/>
      <c r="C16" s="194"/>
      <c r="D16" s="194" t="s">
        <v>159</v>
      </c>
      <c r="E16" s="194"/>
      <c r="R16" s="125"/>
    </row>
  </sheetData>
  <mergeCells count="34">
    <mergeCell ref="B16:C16"/>
    <mergeCell ref="D16:E16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8:C8"/>
    <mergeCell ref="D8:E8"/>
    <mergeCell ref="G8:H8"/>
    <mergeCell ref="I8:J8"/>
    <mergeCell ref="B9:C9"/>
    <mergeCell ref="D9:E9"/>
    <mergeCell ref="B6:C6"/>
    <mergeCell ref="D6:E6"/>
    <mergeCell ref="G6:H6"/>
    <mergeCell ref="I6:J6"/>
    <mergeCell ref="B7:C7"/>
    <mergeCell ref="D7:E7"/>
    <mergeCell ref="G7:H7"/>
    <mergeCell ref="I7:J7"/>
    <mergeCell ref="B1:E1"/>
    <mergeCell ref="B2:E2"/>
    <mergeCell ref="B4:C5"/>
    <mergeCell ref="D4:E5"/>
    <mergeCell ref="G4:J4"/>
    <mergeCell ref="G5:J5"/>
  </mergeCells>
  <pageMargins left="0.511811024" right="0.511811024" top="0.78740157499999996" bottom="0.78740157499999996" header="0.31496062000000002" footer="0.31496062000000002"/>
  <pageSetup paperSize="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3"/>
  <sheetViews>
    <sheetView showGridLines="0" zoomScale="80" zoomScaleNormal="80" workbookViewId="0">
      <selection activeCell="G11" sqref="G11"/>
    </sheetView>
  </sheetViews>
  <sheetFormatPr defaultRowHeight="15" x14ac:dyDescent="0.25"/>
  <cols>
    <col min="1" max="1" width="9.140625" style="125"/>
    <col min="2" max="4" width="48.7109375" style="125" customWidth="1"/>
    <col min="5" max="16384" width="9.140625" style="125"/>
  </cols>
  <sheetData>
    <row r="1" spans="2:18" ht="70.5" customHeight="1" x14ac:dyDescent="0.35">
      <c r="B1" s="139" t="s">
        <v>179</v>
      </c>
      <c r="C1" s="139"/>
      <c r="D1" s="139"/>
      <c r="E1" s="130"/>
      <c r="F1" s="130"/>
      <c r="G1" s="130"/>
      <c r="H1" s="130"/>
      <c r="I1" s="130"/>
      <c r="J1" s="132"/>
      <c r="K1" s="132"/>
      <c r="L1" s="132"/>
      <c r="M1" s="132"/>
      <c r="N1" s="132"/>
    </row>
    <row r="2" spans="2:18" ht="24.95" customHeight="1" x14ac:dyDescent="0.25">
      <c r="B2" s="223" t="s">
        <v>180</v>
      </c>
      <c r="C2" s="223"/>
      <c r="D2" s="223"/>
      <c r="E2" s="131"/>
      <c r="F2" s="131"/>
      <c r="G2" s="131"/>
      <c r="H2" s="131"/>
      <c r="I2" s="131"/>
      <c r="J2" s="131"/>
      <c r="K2" s="129"/>
      <c r="L2" s="129"/>
      <c r="M2" s="129"/>
      <c r="N2" s="129"/>
      <c r="O2" s="129"/>
      <c r="P2" s="129"/>
      <c r="Q2" s="129"/>
      <c r="R2" s="129"/>
    </row>
    <row r="3" spans="2:18" ht="20.100000000000001" customHeight="1" x14ac:dyDescent="0.25">
      <c r="B3" s="235" t="s">
        <v>177</v>
      </c>
      <c r="C3" s="226" t="s">
        <v>48</v>
      </c>
      <c r="D3" s="226"/>
      <c r="G3" s="131"/>
      <c r="H3" s="131"/>
      <c r="I3" s="131"/>
      <c r="J3" s="131"/>
      <c r="K3" s="129"/>
      <c r="L3" s="129"/>
      <c r="M3" s="129"/>
      <c r="N3" s="129"/>
      <c r="O3" s="129"/>
      <c r="P3" s="129"/>
      <c r="Q3" s="129"/>
      <c r="R3" s="129"/>
    </row>
    <row r="4" spans="2:18" s="126" customFormat="1" ht="20.100000000000001" customHeight="1" x14ac:dyDescent="0.25">
      <c r="B4" s="236"/>
      <c r="C4" s="123" t="s">
        <v>130</v>
      </c>
      <c r="D4" s="123" t="s">
        <v>166</v>
      </c>
      <c r="G4" s="127"/>
      <c r="H4" s="127"/>
      <c r="I4" s="127"/>
      <c r="J4" s="127"/>
      <c r="K4" s="127"/>
      <c r="R4" s="125"/>
    </row>
    <row r="5" spans="2:18" ht="20.100000000000001" customHeight="1" x14ac:dyDescent="0.25">
      <c r="B5" s="224"/>
      <c r="C5" s="222" t="s">
        <v>167</v>
      </c>
      <c r="D5" s="222" t="s">
        <v>64</v>
      </c>
    </row>
    <row r="6" spans="2:18" ht="20.100000000000001" customHeight="1" x14ac:dyDescent="0.25">
      <c r="B6" s="225"/>
      <c r="C6" s="222"/>
      <c r="D6" s="222"/>
    </row>
    <row r="7" spans="2:18" ht="20.100000000000001" customHeight="1" x14ac:dyDescent="0.25">
      <c r="B7" s="227"/>
      <c r="C7" s="221" t="s">
        <v>168</v>
      </c>
      <c r="D7" s="221" t="s">
        <v>66</v>
      </c>
    </row>
    <row r="8" spans="2:18" ht="20.100000000000001" customHeight="1" x14ac:dyDescent="0.25">
      <c r="B8" s="228"/>
      <c r="C8" s="221"/>
      <c r="D8" s="221"/>
    </row>
    <row r="9" spans="2:18" ht="20.100000000000001" customHeight="1" x14ac:dyDescent="0.25">
      <c r="B9" s="228"/>
      <c r="C9" s="221"/>
      <c r="D9" s="221"/>
    </row>
    <row r="10" spans="2:18" ht="20.100000000000001" customHeight="1" x14ac:dyDescent="0.25">
      <c r="B10" s="228"/>
      <c r="C10" s="221"/>
      <c r="D10" s="221"/>
    </row>
    <row r="11" spans="2:18" ht="20.100000000000001" customHeight="1" x14ac:dyDescent="0.25">
      <c r="B11" s="229"/>
      <c r="C11" s="221"/>
      <c r="D11" s="221"/>
    </row>
    <row r="12" spans="2:18" ht="20.100000000000001" customHeight="1" x14ac:dyDescent="0.25">
      <c r="B12" s="224"/>
      <c r="C12" s="222" t="s">
        <v>169</v>
      </c>
      <c r="D12" s="222" t="s">
        <v>72</v>
      </c>
    </row>
    <row r="13" spans="2:18" ht="20.100000000000001" customHeight="1" x14ac:dyDescent="0.25">
      <c r="B13" s="225"/>
      <c r="C13" s="222"/>
      <c r="D13" s="222"/>
    </row>
    <row r="14" spans="2:18" ht="20.100000000000001" customHeight="1" x14ac:dyDescent="0.25">
      <c r="B14" s="227"/>
      <c r="C14" s="221" t="s">
        <v>170</v>
      </c>
      <c r="D14" s="221" t="s">
        <v>75</v>
      </c>
    </row>
    <row r="15" spans="2:18" ht="20.100000000000001" customHeight="1" x14ac:dyDescent="0.25">
      <c r="B15" s="228"/>
      <c r="C15" s="221"/>
      <c r="D15" s="221"/>
    </row>
    <row r="16" spans="2:18" ht="20.100000000000001" customHeight="1" x14ac:dyDescent="0.25">
      <c r="B16" s="228"/>
      <c r="C16" s="221"/>
      <c r="D16" s="221"/>
    </row>
    <row r="17" spans="2:4" ht="20.100000000000001" customHeight="1" x14ac:dyDescent="0.25">
      <c r="B17" s="229"/>
      <c r="C17" s="221"/>
      <c r="D17" s="221"/>
    </row>
    <row r="18" spans="2:4" ht="20.100000000000001" customHeight="1" x14ac:dyDescent="0.25">
      <c r="B18" s="224"/>
      <c r="C18" s="222" t="s">
        <v>171</v>
      </c>
      <c r="D18" s="222" t="s">
        <v>80</v>
      </c>
    </row>
    <row r="19" spans="2:4" ht="20.100000000000001" customHeight="1" x14ac:dyDescent="0.25">
      <c r="B19" s="225"/>
      <c r="C19" s="222"/>
      <c r="D19" s="222"/>
    </row>
    <row r="20" spans="2:4" ht="20.100000000000001" customHeight="1" x14ac:dyDescent="0.25">
      <c r="B20" s="227"/>
      <c r="C20" s="221" t="s">
        <v>172</v>
      </c>
      <c r="D20" s="221" t="s">
        <v>83</v>
      </c>
    </row>
    <row r="21" spans="2:4" ht="20.100000000000001" customHeight="1" x14ac:dyDescent="0.25">
      <c r="B21" s="229"/>
      <c r="C21" s="221"/>
      <c r="D21" s="221"/>
    </row>
    <row r="22" spans="2:4" ht="20.100000000000001" customHeight="1" x14ac:dyDescent="0.25">
      <c r="B22" s="224"/>
      <c r="C22" s="222" t="s">
        <v>173</v>
      </c>
      <c r="D22" s="222" t="s">
        <v>86</v>
      </c>
    </row>
    <row r="23" spans="2:4" ht="20.100000000000001" customHeight="1" x14ac:dyDescent="0.25">
      <c r="B23" s="225"/>
      <c r="C23" s="222"/>
      <c r="D23" s="222"/>
    </row>
    <row r="24" spans="2:4" ht="20.100000000000001" customHeight="1" x14ac:dyDescent="0.25">
      <c r="B24" s="135"/>
      <c r="C24" s="135" t="s">
        <v>88</v>
      </c>
      <c r="D24" s="135" t="s">
        <v>89</v>
      </c>
    </row>
    <row r="25" spans="2:4" ht="20.100000000000001" customHeight="1" x14ac:dyDescent="0.25">
      <c r="B25" s="137"/>
      <c r="C25" s="224" t="s">
        <v>174</v>
      </c>
      <c r="D25" s="224" t="s">
        <v>91</v>
      </c>
    </row>
    <row r="26" spans="2:4" ht="20.100000000000001" customHeight="1" x14ac:dyDescent="0.25">
      <c r="B26" s="138"/>
      <c r="C26" s="225"/>
      <c r="D26" s="225"/>
    </row>
    <row r="27" spans="2:4" ht="20.100000000000001" customHeight="1" x14ac:dyDescent="0.25">
      <c r="B27" s="227"/>
      <c r="C27" s="227" t="s">
        <v>175</v>
      </c>
      <c r="D27" s="221" t="s">
        <v>93</v>
      </c>
    </row>
    <row r="28" spans="2:4" ht="20.100000000000001" customHeight="1" x14ac:dyDescent="0.25">
      <c r="B28" s="228"/>
      <c r="C28" s="228"/>
      <c r="D28" s="221"/>
    </row>
    <row r="29" spans="2:4" ht="20.100000000000001" customHeight="1" x14ac:dyDescent="0.25">
      <c r="B29" s="229"/>
      <c r="C29" s="229"/>
      <c r="D29" s="221"/>
    </row>
    <row r="30" spans="2:4" ht="20.100000000000001" customHeight="1" x14ac:dyDescent="0.25">
      <c r="B30" s="136"/>
      <c r="C30" s="136" t="s">
        <v>96</v>
      </c>
      <c r="D30" s="136" t="s">
        <v>97</v>
      </c>
    </row>
    <row r="31" spans="2:4" ht="20.100000000000001" customHeight="1" x14ac:dyDescent="0.25">
      <c r="B31" s="135"/>
      <c r="C31" s="135" t="s">
        <v>98</v>
      </c>
      <c r="D31" s="135" t="s">
        <v>99</v>
      </c>
    </row>
    <row r="32" spans="2:4" ht="15" customHeight="1" x14ac:dyDescent="0.25">
      <c r="B32" s="128"/>
    </row>
    <row r="33" spans="2:2" ht="15" customHeight="1" x14ac:dyDescent="0.25">
      <c r="B33" s="128"/>
    </row>
  </sheetData>
  <mergeCells count="30">
    <mergeCell ref="C22:C23"/>
    <mergeCell ref="D22:D23"/>
    <mergeCell ref="B27:B29"/>
    <mergeCell ref="C25:C26"/>
    <mergeCell ref="D25:D26"/>
    <mergeCell ref="C27:C29"/>
    <mergeCell ref="D27:D29"/>
    <mergeCell ref="B7:B11"/>
    <mergeCell ref="B12:B13"/>
    <mergeCell ref="B14:B17"/>
    <mergeCell ref="B20:B21"/>
    <mergeCell ref="B22:B23"/>
    <mergeCell ref="B18:B19"/>
    <mergeCell ref="C18:C19"/>
    <mergeCell ref="D18:D19"/>
    <mergeCell ref="C20:C21"/>
    <mergeCell ref="D20:D21"/>
    <mergeCell ref="C7:C11"/>
    <mergeCell ref="D7:D11"/>
    <mergeCell ref="C12:C13"/>
    <mergeCell ref="D12:D13"/>
    <mergeCell ref="C14:C17"/>
    <mergeCell ref="D14:D17"/>
    <mergeCell ref="B1:D1"/>
    <mergeCell ref="B2:D2"/>
    <mergeCell ref="C3:D3"/>
    <mergeCell ref="C5:C6"/>
    <mergeCell ref="D5:D6"/>
    <mergeCell ref="B3:B4"/>
    <mergeCell ref="B5:B6"/>
  </mergeCells>
  <pageMargins left="0.25" right="0.25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showGridLines="0" workbookViewId="0">
      <selection activeCell="C9" sqref="C9"/>
    </sheetView>
  </sheetViews>
  <sheetFormatPr defaultRowHeight="15" x14ac:dyDescent="0.25"/>
  <cols>
    <col min="1" max="1" width="9.140625" style="26" customWidth="1"/>
    <col min="2" max="2" width="10.140625" customWidth="1"/>
    <col min="3" max="3" width="9.85546875" customWidth="1"/>
    <col min="4" max="4" width="10" customWidth="1"/>
    <col min="5" max="5" width="10.28515625" customWidth="1"/>
    <col min="6" max="6" width="9.140625" customWidth="1"/>
    <col min="7" max="7" width="11" customWidth="1"/>
  </cols>
  <sheetData>
    <row r="1" spans="1:17" ht="69.95" customHeight="1" x14ac:dyDescent="0.35">
      <c r="F1" s="139" t="s">
        <v>115</v>
      </c>
      <c r="G1" s="139"/>
      <c r="H1" s="139"/>
      <c r="I1" s="139"/>
      <c r="J1" s="139"/>
      <c r="K1" s="139"/>
      <c r="L1" s="139"/>
      <c r="M1" s="139"/>
    </row>
    <row r="2" spans="1:17" s="84" customFormat="1" ht="24.95" customHeight="1" x14ac:dyDescent="0.25">
      <c r="A2" s="140" t="s">
        <v>114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x14ac:dyDescent="0.25">
      <c r="B3" s="70" t="s">
        <v>113</v>
      </c>
      <c r="C3" s="70" t="s">
        <v>30</v>
      </c>
      <c r="D3" s="71" t="s">
        <v>29</v>
      </c>
      <c r="E3" s="71" t="s">
        <v>31</v>
      </c>
      <c r="F3" s="71" t="s">
        <v>32</v>
      </c>
      <c r="G3" s="71" t="s">
        <v>33</v>
      </c>
      <c r="H3" s="71" t="s">
        <v>34</v>
      </c>
      <c r="I3" s="71" t="s">
        <v>35</v>
      </c>
      <c r="J3" s="71" t="s">
        <v>36</v>
      </c>
      <c r="K3" s="71" t="s">
        <v>37</v>
      </c>
      <c r="L3" s="71" t="s">
        <v>38</v>
      </c>
      <c r="M3" s="71" t="s">
        <v>39</v>
      </c>
      <c r="N3" s="71" t="s">
        <v>40</v>
      </c>
      <c r="O3" s="71" t="s">
        <v>41</v>
      </c>
      <c r="P3" s="71" t="s">
        <v>42</v>
      </c>
      <c r="Q3" s="71" t="s">
        <v>43</v>
      </c>
    </row>
    <row r="4" spans="1:17" ht="24" thickBot="1" x14ac:dyDescent="0.3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3" t="s">
        <v>15</v>
      </c>
    </row>
    <row r="5" spans="1:17" ht="16.5" thickBot="1" x14ac:dyDescent="0.3">
      <c r="A5" s="107" t="s">
        <v>27</v>
      </c>
      <c r="B5" s="118" t="s">
        <v>16</v>
      </c>
      <c r="C5" s="18">
        <f>C6*1.26</f>
        <v>25.658325000000001</v>
      </c>
      <c r="D5" s="6">
        <f>C5*$D$8</f>
        <v>26.684658000000002</v>
      </c>
      <c r="E5" s="6">
        <f>D5*$D$8</f>
        <v>27.752044320000003</v>
      </c>
      <c r="F5" s="6">
        <f t="shared" ref="F5:K5" si="0">E5*$D$8</f>
        <v>28.862126092800004</v>
      </c>
      <c r="G5" s="6">
        <f t="shared" si="0"/>
        <v>30.016611136512005</v>
      </c>
      <c r="H5" s="6">
        <f t="shared" si="0"/>
        <v>31.217275581972487</v>
      </c>
      <c r="I5" s="6">
        <f t="shared" si="0"/>
        <v>32.465966605251388</v>
      </c>
      <c r="J5" s="6">
        <f t="shared" si="0"/>
        <v>33.764605269461448</v>
      </c>
      <c r="K5" s="6">
        <f t="shared" si="0"/>
        <v>35.115189480239906</v>
      </c>
      <c r="L5" s="4"/>
      <c r="M5" s="4"/>
      <c r="N5" s="4"/>
      <c r="O5" s="4"/>
      <c r="P5" s="4"/>
      <c r="Q5" s="4"/>
    </row>
    <row r="6" spans="1:17" ht="16.5" thickBot="1" x14ac:dyDescent="0.3">
      <c r="A6" s="107" t="s">
        <v>44</v>
      </c>
      <c r="B6" s="118" t="s">
        <v>17</v>
      </c>
      <c r="C6" s="18">
        <f>C7*1.25</f>
        <v>20.36375</v>
      </c>
      <c r="D6" s="6">
        <f>C6*$D$8</f>
        <v>21.1783</v>
      </c>
      <c r="E6" s="6">
        <f t="shared" ref="E6:Q7" si="1">D6*$D$8</f>
        <v>22.025432000000002</v>
      </c>
      <c r="F6" s="6">
        <f t="shared" si="1"/>
        <v>22.906449280000004</v>
      </c>
      <c r="G6" s="6">
        <f t="shared" si="1"/>
        <v>23.822707251200004</v>
      </c>
      <c r="H6" s="6">
        <f t="shared" si="1"/>
        <v>24.775615541248005</v>
      </c>
      <c r="I6" s="6">
        <f t="shared" si="1"/>
        <v>25.766640162897925</v>
      </c>
      <c r="J6" s="6">
        <f t="shared" si="1"/>
        <v>26.797305769413843</v>
      </c>
      <c r="K6" s="6">
        <f t="shared" si="1"/>
        <v>27.869198000190398</v>
      </c>
      <c r="L6" s="6">
        <f t="shared" si="1"/>
        <v>28.983965920198013</v>
      </c>
      <c r="M6" s="6">
        <f t="shared" si="1"/>
        <v>30.143324557005936</v>
      </c>
      <c r="N6" s="6">
        <f t="shared" si="1"/>
        <v>31.349057539286175</v>
      </c>
      <c r="O6" s="4"/>
      <c r="P6" s="4"/>
      <c r="Q6" s="4"/>
    </row>
    <row r="7" spans="1:17" ht="15.75" x14ac:dyDescent="0.25">
      <c r="B7" s="3" t="s">
        <v>9</v>
      </c>
      <c r="C7" s="22">
        <f>14.81*1.1</f>
        <v>16.291</v>
      </c>
      <c r="D7" s="6">
        <f>C7*$D$8</f>
        <v>16.942640000000001</v>
      </c>
      <c r="E7" s="6">
        <f t="shared" si="1"/>
        <v>17.6203456</v>
      </c>
      <c r="F7" s="6">
        <f t="shared" si="1"/>
        <v>18.325159424000002</v>
      </c>
      <c r="G7" s="6">
        <f t="shared" si="1"/>
        <v>19.058165800960005</v>
      </c>
      <c r="H7" s="6">
        <f t="shared" si="1"/>
        <v>19.820492432998407</v>
      </c>
      <c r="I7" s="6">
        <f t="shared" si="1"/>
        <v>20.613312130318345</v>
      </c>
      <c r="J7" s="6">
        <f t="shared" si="1"/>
        <v>21.43784461553108</v>
      </c>
      <c r="K7" s="6">
        <f t="shared" si="1"/>
        <v>22.295358400152324</v>
      </c>
      <c r="L7" s="6">
        <f t="shared" si="1"/>
        <v>23.187172736158416</v>
      </c>
      <c r="M7" s="6">
        <f t="shared" si="1"/>
        <v>24.114659645604753</v>
      </c>
      <c r="N7" s="6">
        <f t="shared" si="1"/>
        <v>25.079246031428944</v>
      </c>
      <c r="O7" s="6">
        <f t="shared" si="1"/>
        <v>26.082415872686102</v>
      </c>
      <c r="P7" s="6">
        <f t="shared" si="1"/>
        <v>27.125712507593548</v>
      </c>
      <c r="Q7" s="6">
        <f t="shared" si="1"/>
        <v>28.21074100789729</v>
      </c>
    </row>
    <row r="8" spans="1:17" hidden="1" x14ac:dyDescent="0.25">
      <c r="C8" s="23">
        <v>1.1579999999999999</v>
      </c>
      <c r="D8" s="24">
        <v>1.04</v>
      </c>
      <c r="E8" s="7"/>
    </row>
    <row r="9" spans="1:17" s="7" customFormat="1" ht="15.75" thickBot="1" x14ac:dyDescent="0.3">
      <c r="A9" s="117"/>
    </row>
    <row r="10" spans="1:17" s="7" customFormat="1" ht="15.75" thickBot="1" x14ac:dyDescent="0.3">
      <c r="A10" s="117"/>
      <c r="D10" s="158" t="s">
        <v>25</v>
      </c>
      <c r="E10" s="159"/>
      <c r="F10" s="160"/>
      <c r="H10" s="161" t="s">
        <v>24</v>
      </c>
      <c r="I10" s="162"/>
      <c r="J10" s="163"/>
    </row>
    <row r="11" spans="1:17" s="7" customFormat="1" ht="15" customHeight="1" x14ac:dyDescent="0.25">
      <c r="A11" s="117"/>
      <c r="D11" s="8" t="s">
        <v>20</v>
      </c>
      <c r="E11" s="164">
        <v>0.25</v>
      </c>
      <c r="F11" s="165"/>
      <c r="H11" s="166" t="s">
        <v>116</v>
      </c>
      <c r="I11" s="167"/>
      <c r="J11" s="170">
        <v>0.04</v>
      </c>
    </row>
    <row r="12" spans="1:17" s="7" customFormat="1" ht="15" customHeight="1" thickBot="1" x14ac:dyDescent="0.3">
      <c r="A12" s="117"/>
      <c r="D12" s="9" t="s">
        <v>21</v>
      </c>
      <c r="E12" s="172">
        <v>0.26</v>
      </c>
      <c r="F12" s="173"/>
      <c r="H12" s="168"/>
      <c r="I12" s="169"/>
      <c r="J12" s="171"/>
    </row>
    <row r="13" spans="1:17" ht="32.25" customHeight="1" x14ac:dyDescent="0.25">
      <c r="D13" s="141" t="s">
        <v>112</v>
      </c>
      <c r="E13" s="141"/>
      <c r="F13" s="141"/>
      <c r="H13" s="157" t="s">
        <v>45</v>
      </c>
      <c r="I13" s="157"/>
      <c r="J13" s="157"/>
    </row>
    <row r="14" spans="1:17" x14ac:dyDescent="0.25">
      <c r="D14" s="142"/>
      <c r="E14" s="142"/>
      <c r="F14" s="142"/>
    </row>
    <row r="15" spans="1:17" x14ac:dyDescent="0.25">
      <c r="A15" s="42"/>
      <c r="B15" s="25"/>
      <c r="C15" s="25"/>
      <c r="D15" s="25"/>
      <c r="E15" s="25"/>
      <c r="F15" s="25"/>
      <c r="G15" s="25"/>
      <c r="H15" s="25"/>
    </row>
    <row r="16" spans="1:17" ht="31.5" customHeight="1" x14ac:dyDescent="0.25">
      <c r="A16" s="42"/>
      <c r="B16" s="25"/>
      <c r="C16" s="25"/>
      <c r="D16" s="25"/>
      <c r="E16" s="73"/>
      <c r="F16" s="157"/>
      <c r="G16" s="157"/>
      <c r="H16" s="25"/>
    </row>
    <row r="17" spans="1:8" x14ac:dyDescent="0.25">
      <c r="A17" s="120"/>
      <c r="B17" s="75"/>
      <c r="C17" s="75"/>
      <c r="D17" s="76"/>
      <c r="E17" s="75"/>
      <c r="F17" s="75"/>
      <c r="G17" s="77"/>
      <c r="H17" s="25"/>
    </row>
    <row r="18" spans="1:8" x14ac:dyDescent="0.25">
      <c r="A18" s="120"/>
      <c r="B18" s="74"/>
      <c r="C18" s="78"/>
      <c r="D18" s="74"/>
      <c r="E18" s="78"/>
      <c r="F18" s="79"/>
      <c r="G18" s="80"/>
      <c r="H18" s="25"/>
    </row>
    <row r="19" spans="1:8" x14ac:dyDescent="0.25">
      <c r="A19" s="120"/>
      <c r="B19" s="74"/>
      <c r="C19" s="78"/>
      <c r="D19" s="74"/>
      <c r="E19" s="78"/>
      <c r="F19" s="79"/>
      <c r="G19" s="80"/>
      <c r="H19" s="25"/>
    </row>
    <row r="20" spans="1:8" x14ac:dyDescent="0.25">
      <c r="A20" s="120"/>
      <c r="B20" s="74"/>
      <c r="C20" s="78"/>
      <c r="D20" s="74"/>
      <c r="E20" s="78"/>
      <c r="F20" s="79"/>
      <c r="G20" s="80"/>
      <c r="H20" s="25"/>
    </row>
    <row r="21" spans="1:8" x14ac:dyDescent="0.25">
      <c r="A21" s="120"/>
      <c r="B21" s="74"/>
      <c r="C21" s="78"/>
      <c r="D21" s="74"/>
      <c r="E21" s="78"/>
      <c r="F21" s="25"/>
      <c r="G21" s="25"/>
      <c r="H21" s="25"/>
    </row>
    <row r="22" spans="1:8" x14ac:dyDescent="0.25">
      <c r="A22" s="120"/>
      <c r="B22" s="74"/>
      <c r="C22" s="78"/>
      <c r="D22" s="74"/>
      <c r="E22" s="78"/>
      <c r="F22" s="25"/>
      <c r="G22" s="25"/>
      <c r="H22" s="25"/>
    </row>
    <row r="23" spans="1:8" x14ac:dyDescent="0.25">
      <c r="A23" s="120"/>
      <c r="B23" s="74"/>
      <c r="C23" s="78"/>
      <c r="D23" s="74"/>
      <c r="E23" s="78"/>
      <c r="F23" s="25"/>
      <c r="G23" s="25"/>
      <c r="H23" s="25"/>
    </row>
    <row r="24" spans="1:8" x14ac:dyDescent="0.25">
      <c r="A24" s="42"/>
      <c r="B24" s="25"/>
      <c r="C24" s="25"/>
      <c r="D24" s="25"/>
      <c r="E24" s="25"/>
      <c r="F24" s="25"/>
      <c r="G24" s="25"/>
      <c r="H24" s="25"/>
    </row>
  </sheetData>
  <mergeCells count="11">
    <mergeCell ref="F1:M1"/>
    <mergeCell ref="D13:F14"/>
    <mergeCell ref="A2:Q2"/>
    <mergeCell ref="F16:G16"/>
    <mergeCell ref="H13:J13"/>
    <mergeCell ref="D10:F10"/>
    <mergeCell ref="H10:J10"/>
    <mergeCell ref="E11:F11"/>
    <mergeCell ref="H11:I12"/>
    <mergeCell ref="J11:J12"/>
    <mergeCell ref="E12:F12"/>
  </mergeCells>
  <pageMargins left="0.511811024" right="0.511811024" top="0.78740157499999996" bottom="0.78740157499999996" header="0.31496062000000002" footer="0.31496062000000002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workbookViewId="0">
      <selection activeCell="B12" sqref="B12"/>
    </sheetView>
  </sheetViews>
  <sheetFormatPr defaultRowHeight="15" x14ac:dyDescent="0.25"/>
  <cols>
    <col min="1" max="1" width="9.42578125" style="26" customWidth="1"/>
    <col min="2" max="2" width="19.5703125" customWidth="1"/>
    <col min="4" max="4" width="9.140625" customWidth="1"/>
    <col min="7" max="8" width="10.7109375" customWidth="1"/>
    <col min="20" max="20" width="16.7109375" customWidth="1"/>
    <col min="21" max="21" width="9.7109375" customWidth="1"/>
  </cols>
  <sheetData>
    <row r="1" spans="1:17" ht="69.95" customHeight="1" x14ac:dyDescent="0.35">
      <c r="F1" s="139" t="s">
        <v>119</v>
      </c>
      <c r="G1" s="139"/>
      <c r="H1" s="139"/>
      <c r="I1" s="139"/>
      <c r="J1" s="139"/>
      <c r="K1" s="139"/>
      <c r="L1" s="139"/>
      <c r="M1" s="139"/>
    </row>
    <row r="2" spans="1:17" s="84" customFormat="1" ht="24.95" customHeight="1" x14ac:dyDescent="0.25">
      <c r="A2" s="140" t="s">
        <v>117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x14ac:dyDescent="0.25">
      <c r="B3" s="70" t="s">
        <v>113</v>
      </c>
      <c r="C3" s="70" t="s">
        <v>30</v>
      </c>
      <c r="D3" s="71" t="s">
        <v>29</v>
      </c>
      <c r="E3" s="71" t="s">
        <v>31</v>
      </c>
      <c r="F3" s="71" t="s">
        <v>32</v>
      </c>
      <c r="G3" s="71" t="s">
        <v>33</v>
      </c>
      <c r="H3" s="71" t="s">
        <v>34</v>
      </c>
      <c r="I3" s="71" t="s">
        <v>35</v>
      </c>
      <c r="J3" s="71" t="s">
        <v>36</v>
      </c>
      <c r="K3" s="71" t="s">
        <v>37</v>
      </c>
      <c r="L3" s="71" t="s">
        <v>38</v>
      </c>
      <c r="M3" s="71" t="s">
        <v>39</v>
      </c>
      <c r="N3" s="71" t="s">
        <v>40</v>
      </c>
      <c r="O3" s="71" t="s">
        <v>41</v>
      </c>
      <c r="P3" s="71" t="s">
        <v>42</v>
      </c>
      <c r="Q3" s="71" t="s">
        <v>43</v>
      </c>
    </row>
    <row r="4" spans="1:17" ht="32.25" thickBot="1" x14ac:dyDescent="0.3">
      <c r="B4" s="82" t="s">
        <v>118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</row>
    <row r="5" spans="1:17" ht="16.5" thickBot="1" x14ac:dyDescent="0.3">
      <c r="A5" s="107" t="s">
        <v>28</v>
      </c>
      <c r="B5" s="121" t="s">
        <v>17</v>
      </c>
      <c r="C5" s="20">
        <f>C6*1.19</f>
        <v>2699.3925059220005</v>
      </c>
      <c r="D5" s="14">
        <f>C5*1.08</f>
        <v>2915.3439063957608</v>
      </c>
      <c r="E5" s="15">
        <f t="shared" ref="E5:Q6" si="0">D5*$D$7</f>
        <v>3031.9576626515914</v>
      </c>
      <c r="F5" s="15">
        <f t="shared" si="0"/>
        <v>3153.2359691576553</v>
      </c>
      <c r="G5" s="15">
        <f t="shared" si="0"/>
        <v>3279.3654079239618</v>
      </c>
      <c r="H5" s="15">
        <f t="shared" si="0"/>
        <v>3410.5400242409205</v>
      </c>
      <c r="I5" s="15">
        <f t="shared" si="0"/>
        <v>3546.9616252105575</v>
      </c>
      <c r="J5" s="15">
        <f t="shared" si="0"/>
        <v>3688.8400902189801</v>
      </c>
      <c r="K5" s="15">
        <f t="shared" si="0"/>
        <v>3836.3936938277393</v>
      </c>
      <c r="L5" s="15">
        <f t="shared" si="0"/>
        <v>3989.8494415808491</v>
      </c>
      <c r="M5" s="15">
        <f t="shared" si="0"/>
        <v>4149.4434192440831</v>
      </c>
      <c r="N5" s="15">
        <f t="shared" si="0"/>
        <v>4315.4211560138465</v>
      </c>
      <c r="O5" s="52">
        <f>N5*D7</f>
        <v>4488.0380022544005</v>
      </c>
      <c r="P5" s="16"/>
      <c r="Q5" s="16"/>
    </row>
    <row r="6" spans="1:17" ht="15.75" x14ac:dyDescent="0.25">
      <c r="B6" s="50" t="s">
        <v>9</v>
      </c>
      <c r="C6" s="19">
        <f>(1998.13*1.0812)*1.05</f>
        <v>2268.3970638000005</v>
      </c>
      <c r="D6" s="15">
        <f>C6*$D$7</f>
        <v>2359.1329463520005</v>
      </c>
      <c r="E6" s="15">
        <f t="shared" si="0"/>
        <v>2453.4982642060809</v>
      </c>
      <c r="F6" s="15">
        <f t="shared" si="0"/>
        <v>2551.6381947743243</v>
      </c>
      <c r="G6" s="15">
        <f t="shared" si="0"/>
        <v>2653.7037225652975</v>
      </c>
      <c r="H6" s="15">
        <f t="shared" si="0"/>
        <v>2759.8518714679094</v>
      </c>
      <c r="I6" s="15">
        <f t="shared" si="0"/>
        <v>2870.2459463266259</v>
      </c>
      <c r="J6" s="15">
        <f t="shared" si="0"/>
        <v>2985.0557841796913</v>
      </c>
      <c r="K6" s="15">
        <f t="shared" si="0"/>
        <v>3104.4580155468789</v>
      </c>
      <c r="L6" s="15">
        <f t="shared" si="0"/>
        <v>3228.636336168754</v>
      </c>
      <c r="M6" s="15">
        <f t="shared" si="0"/>
        <v>3357.7817896155043</v>
      </c>
      <c r="N6" s="15">
        <f t="shared" si="0"/>
        <v>3492.0930612001248</v>
      </c>
      <c r="O6" s="15">
        <f t="shared" si="0"/>
        <v>3631.7767836481298</v>
      </c>
      <c r="P6" s="15">
        <f t="shared" si="0"/>
        <v>3777.0478549940553</v>
      </c>
      <c r="Q6" s="15">
        <f t="shared" si="0"/>
        <v>3928.1297691938175</v>
      </c>
    </row>
    <row r="7" spans="1:17" ht="15.75" hidden="1" x14ac:dyDescent="0.25">
      <c r="B7" s="17"/>
      <c r="C7" s="17"/>
      <c r="D7" s="6">
        <v>1.04</v>
      </c>
      <c r="E7" s="51">
        <v>1.08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15.75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10" spans="1:17" ht="15.75" thickBot="1" x14ac:dyDescent="0.3"/>
    <row r="11" spans="1:17" x14ac:dyDescent="0.25">
      <c r="D11" s="174" t="s">
        <v>19</v>
      </c>
      <c r="E11" s="175"/>
      <c r="F11" s="56"/>
      <c r="G11" s="174" t="s">
        <v>22</v>
      </c>
      <c r="H11" s="175"/>
    </row>
    <row r="12" spans="1:17" ht="15.75" thickBot="1" x14ac:dyDescent="0.3">
      <c r="D12" s="12" t="s">
        <v>20</v>
      </c>
      <c r="E12" s="13">
        <v>1.19</v>
      </c>
      <c r="G12" s="10">
        <v>1.04</v>
      </c>
      <c r="H12" s="11">
        <v>1.08</v>
      </c>
    </row>
    <row r="22" spans="7:7" x14ac:dyDescent="0.25">
      <c r="G22" s="5"/>
    </row>
    <row r="23" spans="7:7" x14ac:dyDescent="0.25">
      <c r="G23" s="5"/>
    </row>
  </sheetData>
  <mergeCells count="4">
    <mergeCell ref="D11:E11"/>
    <mergeCell ref="G11:H11"/>
    <mergeCell ref="A2:Q2"/>
    <mergeCell ref="F1:M1"/>
  </mergeCells>
  <pageMargins left="0.511811024" right="0.511811024" top="0.78740157499999996" bottom="0.78740157499999996" header="0.31496062000000002" footer="0.31496062000000002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topLeftCell="A4" zoomScale="80" zoomScaleNormal="80" workbookViewId="0">
      <selection activeCell="B18" sqref="B18:Q18"/>
    </sheetView>
  </sheetViews>
  <sheetFormatPr defaultRowHeight="15" x14ac:dyDescent="0.25"/>
  <cols>
    <col min="2" max="2" width="25.28515625" customWidth="1"/>
    <col min="3" max="3" width="11.7109375" style="26" customWidth="1"/>
    <col min="4" max="17" width="11.85546875" style="26" customWidth="1"/>
  </cols>
  <sheetData>
    <row r="1" spans="1:18" ht="70.5" customHeight="1" x14ac:dyDescent="0.35">
      <c r="C1"/>
      <c r="D1"/>
      <c r="E1" s="139" t="s">
        <v>120</v>
      </c>
      <c r="F1" s="139"/>
      <c r="G1" s="139"/>
      <c r="H1" s="139"/>
      <c r="I1" s="139"/>
      <c r="J1" s="139"/>
      <c r="K1" s="139"/>
      <c r="L1" s="139"/>
      <c r="M1" s="81"/>
      <c r="N1" s="81"/>
      <c r="O1"/>
      <c r="P1"/>
      <c r="Q1"/>
    </row>
    <row r="2" spans="1:18" s="83" customFormat="1" ht="24.95" customHeight="1" thickBot="1" x14ac:dyDescent="0.3">
      <c r="B2" s="140" t="s">
        <v>126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8" ht="15.75" thickBot="1" x14ac:dyDescent="0.3">
      <c r="B3" s="85" t="s">
        <v>113</v>
      </c>
      <c r="C3" s="86" t="s">
        <v>30</v>
      </c>
      <c r="D3" s="87" t="s">
        <v>29</v>
      </c>
      <c r="E3" s="87" t="s">
        <v>31</v>
      </c>
      <c r="F3" s="87" t="s">
        <v>32</v>
      </c>
      <c r="G3" s="87" t="s">
        <v>33</v>
      </c>
      <c r="H3" s="87" t="s">
        <v>34</v>
      </c>
      <c r="I3" s="87" t="s">
        <v>35</v>
      </c>
      <c r="J3" s="87" t="s">
        <v>36</v>
      </c>
      <c r="K3" s="87" t="s">
        <v>37</v>
      </c>
      <c r="L3" s="87" t="s">
        <v>38</v>
      </c>
      <c r="M3" s="87" t="s">
        <v>39</v>
      </c>
      <c r="N3" s="87" t="s">
        <v>40</v>
      </c>
      <c r="O3" s="87" t="s">
        <v>41</v>
      </c>
      <c r="P3" s="87" t="s">
        <v>42</v>
      </c>
      <c r="Q3" s="88" t="s">
        <v>43</v>
      </c>
      <c r="R3" s="62"/>
    </row>
    <row r="4" spans="1:18" ht="48" thickBot="1" x14ac:dyDescent="0.3">
      <c r="B4" s="27" t="s">
        <v>46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9" t="s">
        <v>56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30" t="s">
        <v>15</v>
      </c>
    </row>
    <row r="5" spans="1:18" ht="16.5" thickBot="1" x14ac:dyDescent="0.3">
      <c r="A5" s="90" t="s">
        <v>28</v>
      </c>
      <c r="B5" s="31" t="s">
        <v>17</v>
      </c>
      <c r="C5" s="32">
        <f>C6*1.12</f>
        <v>4236.3749662080008</v>
      </c>
      <c r="D5" s="34">
        <f>C5*1.08</f>
        <v>4575.2849635046414</v>
      </c>
      <c r="E5" s="33">
        <f>D5*1.04</f>
        <v>4758.2963620448272</v>
      </c>
      <c r="F5" s="33">
        <f t="shared" ref="F5:Q6" si="0">E5*1.04</f>
        <v>4948.6282165266202</v>
      </c>
      <c r="G5" s="33">
        <f t="shared" si="0"/>
        <v>5146.5733451876849</v>
      </c>
      <c r="H5" s="33">
        <f>G5*1.04</f>
        <v>5352.4362789951929</v>
      </c>
      <c r="I5" s="33">
        <f t="shared" si="0"/>
        <v>5566.5337301550007</v>
      </c>
      <c r="J5" s="33">
        <f t="shared" si="0"/>
        <v>5789.1950793612014</v>
      </c>
      <c r="K5" s="33">
        <f t="shared" si="0"/>
        <v>6020.7628825356496</v>
      </c>
      <c r="L5" s="33">
        <f t="shared" si="0"/>
        <v>6261.5933978370758</v>
      </c>
      <c r="M5" s="33">
        <f t="shared" si="0"/>
        <v>6512.0571337505589</v>
      </c>
      <c r="N5" s="33">
        <f t="shared" si="0"/>
        <v>6772.5394191005817</v>
      </c>
      <c r="O5" s="35"/>
      <c r="P5" s="35"/>
      <c r="Q5" s="36"/>
    </row>
    <row r="6" spans="1:18" ht="16.5" thickBot="1" x14ac:dyDescent="0.3">
      <c r="B6" s="37" t="s">
        <v>9</v>
      </c>
      <c r="C6" s="38">
        <f>(3180.37*1.0812)*1.1</f>
        <v>3782.4776484000004</v>
      </c>
      <c r="D6" s="39">
        <f>C6*1.04</f>
        <v>3933.7767543360005</v>
      </c>
      <c r="E6" s="39">
        <f>D6*1.04</f>
        <v>4091.1278245094409</v>
      </c>
      <c r="F6" s="39">
        <f t="shared" si="0"/>
        <v>4254.772937489819</v>
      </c>
      <c r="G6" s="39">
        <f t="shared" si="0"/>
        <v>4424.9638549894116</v>
      </c>
      <c r="H6" s="39">
        <f t="shared" si="0"/>
        <v>4601.9624091889882</v>
      </c>
      <c r="I6" s="39">
        <f t="shared" si="0"/>
        <v>4786.0409055565478</v>
      </c>
      <c r="J6" s="39">
        <f t="shared" si="0"/>
        <v>4977.4825417788097</v>
      </c>
      <c r="K6" s="39">
        <f t="shared" si="0"/>
        <v>5176.5818434499624</v>
      </c>
      <c r="L6" s="39">
        <f t="shared" si="0"/>
        <v>5383.6451171879608</v>
      </c>
      <c r="M6" s="39">
        <f t="shared" si="0"/>
        <v>5598.9909218754792</v>
      </c>
      <c r="N6" s="39">
        <f t="shared" si="0"/>
        <v>5822.9505587504982</v>
      </c>
      <c r="O6" s="39">
        <f t="shared" si="0"/>
        <v>6055.868581100518</v>
      </c>
      <c r="P6" s="39">
        <f t="shared" si="0"/>
        <v>6298.103324344539</v>
      </c>
      <c r="Q6" s="40">
        <f t="shared" si="0"/>
        <v>6550.0274573183206</v>
      </c>
    </row>
    <row r="7" spans="1:18" ht="15.75" thickBot="1" x14ac:dyDescent="0.3">
      <c r="B7" s="25"/>
      <c r="C7" s="42"/>
      <c r="D7" s="89"/>
      <c r="E7" s="89"/>
      <c r="F7" s="89"/>
    </row>
    <row r="8" spans="1:18" ht="15.75" thickBot="1" x14ac:dyDescent="0.3">
      <c r="B8" s="85" t="s">
        <v>113</v>
      </c>
      <c r="C8" s="86" t="s">
        <v>30</v>
      </c>
      <c r="D8" s="87" t="s">
        <v>29</v>
      </c>
      <c r="E8" s="87" t="s">
        <v>31</v>
      </c>
      <c r="F8" s="87" t="s">
        <v>32</v>
      </c>
      <c r="G8" s="87" t="s">
        <v>33</v>
      </c>
      <c r="H8" s="87" t="s">
        <v>34</v>
      </c>
      <c r="I8" s="87" t="s">
        <v>35</v>
      </c>
      <c r="J8" s="87" t="s">
        <v>36</v>
      </c>
      <c r="K8" s="87" t="s">
        <v>37</v>
      </c>
      <c r="L8" s="87" t="s">
        <v>38</v>
      </c>
      <c r="M8" s="87" t="s">
        <v>39</v>
      </c>
      <c r="N8" s="87" t="s">
        <v>40</v>
      </c>
      <c r="O8" s="87" t="s">
        <v>41</v>
      </c>
      <c r="P8" s="87" t="s">
        <v>42</v>
      </c>
      <c r="Q8" s="88" t="s">
        <v>43</v>
      </c>
      <c r="R8" s="62"/>
    </row>
    <row r="9" spans="1:18" ht="32.25" thickBot="1" x14ac:dyDescent="0.3">
      <c r="B9" s="27" t="s">
        <v>122</v>
      </c>
      <c r="C9" s="28" t="s">
        <v>1</v>
      </c>
      <c r="D9" s="28" t="s">
        <v>2</v>
      </c>
      <c r="E9" s="28" t="s">
        <v>3</v>
      </c>
      <c r="F9" s="28" t="s">
        <v>4</v>
      </c>
      <c r="G9" s="28" t="s">
        <v>5</v>
      </c>
      <c r="H9" s="29" t="s">
        <v>56</v>
      </c>
      <c r="I9" s="28" t="s">
        <v>7</v>
      </c>
      <c r="J9" s="28" t="s">
        <v>8</v>
      </c>
      <c r="K9" s="28" t="s">
        <v>9</v>
      </c>
      <c r="L9" s="28" t="s">
        <v>10</v>
      </c>
      <c r="M9" s="28" t="s">
        <v>11</v>
      </c>
      <c r="N9" s="28" t="s">
        <v>12</v>
      </c>
      <c r="O9" s="28" t="s">
        <v>13</v>
      </c>
      <c r="P9" s="28" t="s">
        <v>14</v>
      </c>
      <c r="Q9" s="30" t="s">
        <v>15</v>
      </c>
    </row>
    <row r="10" spans="1:18" ht="16.5" thickBot="1" x14ac:dyDescent="0.3">
      <c r="A10" s="90" t="s">
        <v>28</v>
      </c>
      <c r="B10" s="31" t="s">
        <v>17</v>
      </c>
      <c r="C10" s="32">
        <f>C11*1.12</f>
        <v>3330.0960000000005</v>
      </c>
      <c r="D10" s="34">
        <f>C10*1.08</f>
        <v>3596.5036800000007</v>
      </c>
      <c r="E10" s="33">
        <f>D10*1.04</f>
        <v>3740.3638272000007</v>
      </c>
      <c r="F10" s="33">
        <f t="shared" ref="F10:H11" si="1">E10*1.04</f>
        <v>3889.9783802880011</v>
      </c>
      <c r="G10" s="33">
        <f t="shared" si="1"/>
        <v>4045.5775154995213</v>
      </c>
      <c r="H10" s="33">
        <f>G10*1.04</f>
        <v>4207.400616119502</v>
      </c>
      <c r="I10" s="33">
        <f t="shared" ref="I10:Q11" si="2">H10*1.04</f>
        <v>4375.6966407642822</v>
      </c>
      <c r="J10" s="33">
        <f t="shared" si="2"/>
        <v>4550.724506394854</v>
      </c>
      <c r="K10" s="33">
        <f t="shared" si="2"/>
        <v>4732.7534866506485</v>
      </c>
      <c r="L10" s="33">
        <f t="shared" si="2"/>
        <v>4922.0636261166746</v>
      </c>
      <c r="M10" s="33">
        <f t="shared" si="2"/>
        <v>5118.9461711613421</v>
      </c>
      <c r="N10" s="33">
        <f t="shared" si="2"/>
        <v>5323.7040180077956</v>
      </c>
      <c r="O10" s="35"/>
      <c r="P10" s="35"/>
      <c r="Q10" s="36"/>
    </row>
    <row r="11" spans="1:18" ht="16.5" thickBot="1" x14ac:dyDescent="0.3">
      <c r="B11" s="37" t="s">
        <v>9</v>
      </c>
      <c r="C11" s="38">
        <f>(2500*1.0812)*1.1</f>
        <v>2973.3</v>
      </c>
      <c r="D11" s="39">
        <f>C11*1.04</f>
        <v>3092.2320000000004</v>
      </c>
      <c r="E11" s="39">
        <f>D11*1.04</f>
        <v>3215.9212800000005</v>
      </c>
      <c r="F11" s="39">
        <f t="shared" si="1"/>
        <v>3344.5581312000004</v>
      </c>
      <c r="G11" s="39">
        <f t="shared" si="1"/>
        <v>3478.3404564480006</v>
      </c>
      <c r="H11" s="39">
        <f t="shared" si="1"/>
        <v>3617.4740747059209</v>
      </c>
      <c r="I11" s="39">
        <f t="shared" si="2"/>
        <v>3762.1730376941578</v>
      </c>
      <c r="J11" s="39">
        <f t="shared" si="2"/>
        <v>3912.6599592019243</v>
      </c>
      <c r="K11" s="39">
        <f t="shared" si="2"/>
        <v>4069.1663575700013</v>
      </c>
      <c r="L11" s="39">
        <f t="shared" si="2"/>
        <v>4231.9330118728012</v>
      </c>
      <c r="M11" s="39">
        <f t="shared" si="2"/>
        <v>4401.2103323477131</v>
      </c>
      <c r="N11" s="39">
        <f t="shared" si="2"/>
        <v>4577.2587456416222</v>
      </c>
      <c r="O11" s="39">
        <f t="shared" si="2"/>
        <v>4760.349095467287</v>
      </c>
      <c r="P11" s="39">
        <f t="shared" si="2"/>
        <v>4950.7630592859787</v>
      </c>
      <c r="Q11" s="40">
        <f t="shared" si="2"/>
        <v>5148.7935816574181</v>
      </c>
    </row>
    <row r="12" spans="1:18" s="25" customFormat="1" ht="15.75" thickBot="1" x14ac:dyDescent="0.3">
      <c r="C12" s="42"/>
      <c r="D12" s="181"/>
      <c r="E12" s="181"/>
      <c r="F12" s="181"/>
      <c r="G12" s="42"/>
      <c r="H12" s="91"/>
      <c r="I12" s="91"/>
      <c r="J12" s="42"/>
      <c r="K12" s="42"/>
      <c r="L12" s="42"/>
      <c r="M12" s="42"/>
      <c r="N12" s="42"/>
      <c r="O12" s="42"/>
      <c r="P12" s="42"/>
      <c r="Q12" s="42"/>
    </row>
    <row r="13" spans="1:18" ht="15.75" thickBot="1" x14ac:dyDescent="0.3">
      <c r="B13" s="85" t="s">
        <v>113</v>
      </c>
      <c r="C13" s="86" t="s">
        <v>30</v>
      </c>
      <c r="D13" s="87" t="s">
        <v>29</v>
      </c>
      <c r="E13" s="87" t="s">
        <v>31</v>
      </c>
      <c r="F13" s="87" t="s">
        <v>32</v>
      </c>
      <c r="G13" s="87" t="s">
        <v>33</v>
      </c>
      <c r="H13" s="87" t="s">
        <v>34</v>
      </c>
      <c r="I13" s="87" t="s">
        <v>35</v>
      </c>
      <c r="J13" s="87" t="s">
        <v>36</v>
      </c>
      <c r="K13" s="87" t="s">
        <v>37</v>
      </c>
      <c r="L13" s="87" t="s">
        <v>38</v>
      </c>
      <c r="M13" s="87" t="s">
        <v>39</v>
      </c>
      <c r="N13" s="87" t="s">
        <v>40</v>
      </c>
      <c r="O13" s="87" t="s">
        <v>41</v>
      </c>
      <c r="P13" s="87" t="s">
        <v>42</v>
      </c>
      <c r="Q13" s="88" t="s">
        <v>43</v>
      </c>
      <c r="R13" s="62"/>
    </row>
    <row r="14" spans="1:18" ht="32.25" thickBot="1" x14ac:dyDescent="0.3">
      <c r="B14" s="27" t="s">
        <v>160</v>
      </c>
      <c r="C14" s="28" t="s">
        <v>1</v>
      </c>
      <c r="D14" s="28" t="s">
        <v>2</v>
      </c>
      <c r="E14" s="28" t="s">
        <v>3</v>
      </c>
      <c r="F14" s="28" t="s">
        <v>4</v>
      </c>
      <c r="G14" s="28" t="s">
        <v>5</v>
      </c>
      <c r="H14" s="29" t="s">
        <v>56</v>
      </c>
      <c r="I14" s="28" t="s">
        <v>7</v>
      </c>
      <c r="J14" s="28" t="s">
        <v>8</v>
      </c>
      <c r="K14" s="28" t="s">
        <v>9</v>
      </c>
      <c r="L14" s="28" t="s">
        <v>10</v>
      </c>
      <c r="M14" s="28" t="s">
        <v>11</v>
      </c>
      <c r="N14" s="28" t="s">
        <v>12</v>
      </c>
      <c r="O14" s="28" t="s">
        <v>13</v>
      </c>
      <c r="P14" s="28" t="s">
        <v>14</v>
      </c>
      <c r="Q14" s="30" t="s">
        <v>15</v>
      </c>
    </row>
    <row r="15" spans="1:18" ht="16.5" thickBot="1" x14ac:dyDescent="0.3">
      <c r="A15" s="90" t="s">
        <v>28</v>
      </c>
      <c r="B15" s="31" t="s">
        <v>17</v>
      </c>
      <c r="C15" s="32">
        <f>C16*1.12</f>
        <v>2495.4407385600007</v>
      </c>
      <c r="D15" s="34">
        <f>C15*1.08</f>
        <v>2695.0759976448007</v>
      </c>
      <c r="E15" s="33">
        <f>D15*1.04</f>
        <v>2802.8790375505928</v>
      </c>
      <c r="F15" s="33">
        <f t="shared" ref="F15:Q16" si="3">E15*1.04</f>
        <v>2914.9941990526168</v>
      </c>
      <c r="G15" s="33">
        <f t="shared" si="3"/>
        <v>3031.5939670147213</v>
      </c>
      <c r="H15" s="33">
        <f>G15*1.04</f>
        <v>3152.8577256953104</v>
      </c>
      <c r="I15" s="33">
        <f t="shared" si="3"/>
        <v>3278.9720347231228</v>
      </c>
      <c r="J15" s="33">
        <f t="shared" si="3"/>
        <v>3410.130916112048</v>
      </c>
      <c r="K15" s="33">
        <f t="shared" si="3"/>
        <v>3546.5361527565301</v>
      </c>
      <c r="L15" s="33">
        <f t="shared" si="3"/>
        <v>3688.3975988667912</v>
      </c>
      <c r="M15" s="33">
        <f t="shared" si="3"/>
        <v>3835.9335028214632</v>
      </c>
      <c r="N15" s="33">
        <f t="shared" si="3"/>
        <v>3989.3708429343219</v>
      </c>
      <c r="O15" s="35"/>
      <c r="P15" s="35"/>
      <c r="Q15" s="36"/>
    </row>
    <row r="16" spans="1:18" ht="16.5" thickBot="1" x14ac:dyDescent="0.3">
      <c r="B16" s="37" t="s">
        <v>9</v>
      </c>
      <c r="C16" s="38">
        <f>(1873.4*1.0812)*1.1</f>
        <v>2228.0720880000003</v>
      </c>
      <c r="D16" s="39">
        <f>C16*1.04</f>
        <v>2317.1949715200003</v>
      </c>
      <c r="E16" s="39">
        <f>D16*1.04</f>
        <v>2409.8827703808006</v>
      </c>
      <c r="F16" s="39">
        <f t="shared" si="3"/>
        <v>2506.2780811960329</v>
      </c>
      <c r="G16" s="39">
        <f t="shared" si="3"/>
        <v>2606.5292044438743</v>
      </c>
      <c r="H16" s="39">
        <f t="shared" si="3"/>
        <v>2710.7903726216296</v>
      </c>
      <c r="I16" s="39">
        <f t="shared" si="3"/>
        <v>2819.221987526495</v>
      </c>
      <c r="J16" s="39">
        <f t="shared" si="3"/>
        <v>2931.9908670275549</v>
      </c>
      <c r="K16" s="39">
        <f t="shared" si="3"/>
        <v>3049.2705017086573</v>
      </c>
      <c r="L16" s="39">
        <f t="shared" si="3"/>
        <v>3171.2413217770036</v>
      </c>
      <c r="M16" s="39">
        <f t="shared" si="3"/>
        <v>3298.0909746480838</v>
      </c>
      <c r="N16" s="39">
        <f t="shared" si="3"/>
        <v>3430.0146136340072</v>
      </c>
      <c r="O16" s="39">
        <f t="shared" si="3"/>
        <v>3567.2151981793677</v>
      </c>
      <c r="P16" s="39">
        <f t="shared" si="3"/>
        <v>3709.9038061065426</v>
      </c>
      <c r="Q16" s="40">
        <f t="shared" si="3"/>
        <v>3858.2999583508044</v>
      </c>
    </row>
    <row r="17" spans="1:18" s="25" customFormat="1" ht="15.75" thickBot="1" x14ac:dyDescent="0.3">
      <c r="C17" s="42"/>
      <c r="D17" s="181"/>
      <c r="E17" s="181"/>
      <c r="F17" s="181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1:18" ht="15.75" thickBot="1" x14ac:dyDescent="0.3">
      <c r="B18" s="85" t="s">
        <v>113</v>
      </c>
      <c r="C18" s="86" t="s">
        <v>30</v>
      </c>
      <c r="D18" s="87" t="s">
        <v>29</v>
      </c>
      <c r="E18" s="87" t="s">
        <v>31</v>
      </c>
      <c r="F18" s="87" t="s">
        <v>32</v>
      </c>
      <c r="G18" s="87" t="s">
        <v>33</v>
      </c>
      <c r="H18" s="87" t="s">
        <v>34</v>
      </c>
      <c r="I18" s="87" t="s">
        <v>35</v>
      </c>
      <c r="J18" s="87" t="s">
        <v>36</v>
      </c>
      <c r="K18" s="87" t="s">
        <v>37</v>
      </c>
      <c r="L18" s="87" t="s">
        <v>38</v>
      </c>
      <c r="M18" s="87" t="s">
        <v>39</v>
      </c>
      <c r="N18" s="87" t="s">
        <v>40</v>
      </c>
      <c r="O18" s="87" t="s">
        <v>41</v>
      </c>
      <c r="P18" s="87" t="s">
        <v>42</v>
      </c>
      <c r="Q18" s="88" t="s">
        <v>43</v>
      </c>
      <c r="R18" s="62"/>
    </row>
    <row r="19" spans="1:18" ht="32.25" thickBot="1" x14ac:dyDescent="0.3">
      <c r="B19" s="27" t="s">
        <v>162</v>
      </c>
      <c r="C19" s="27" t="s">
        <v>1</v>
      </c>
      <c r="D19" s="28" t="s">
        <v>2</v>
      </c>
      <c r="E19" s="28" t="s">
        <v>3</v>
      </c>
      <c r="F19" s="28" t="s">
        <v>4</v>
      </c>
      <c r="G19" s="28" t="s">
        <v>5</v>
      </c>
      <c r="H19" s="29" t="s">
        <v>6</v>
      </c>
      <c r="I19" s="29" t="s">
        <v>7</v>
      </c>
      <c r="J19" s="28" t="s">
        <v>8</v>
      </c>
      <c r="K19" s="28" t="s">
        <v>9</v>
      </c>
      <c r="L19" s="28" t="s">
        <v>10</v>
      </c>
      <c r="M19" s="28" t="s">
        <v>11</v>
      </c>
      <c r="N19" s="28" t="s">
        <v>12</v>
      </c>
      <c r="O19" s="28" t="s">
        <v>13</v>
      </c>
      <c r="P19" s="28" t="s">
        <v>14</v>
      </c>
      <c r="Q19" s="30" t="s">
        <v>15</v>
      </c>
    </row>
    <row r="20" spans="1:18" ht="16.5" thickBot="1" x14ac:dyDescent="0.3">
      <c r="A20" s="90" t="s">
        <v>28</v>
      </c>
      <c r="B20" s="31" t="s">
        <v>17</v>
      </c>
      <c r="C20" s="32">
        <f>C21*1.12</f>
        <v>1329.5741289600003</v>
      </c>
      <c r="D20" s="34">
        <f>C20*1.08</f>
        <v>1435.9400592768004</v>
      </c>
      <c r="E20" s="33">
        <f>D20*1.04</f>
        <v>1493.3776616478724</v>
      </c>
      <c r="F20" s="33">
        <f t="shared" ref="F20:Q21" si="4">E20*1.04</f>
        <v>1553.1127681137873</v>
      </c>
      <c r="G20" s="33">
        <f t="shared" si="4"/>
        <v>1615.2372788383389</v>
      </c>
      <c r="H20" s="33">
        <f>G20*1.04</f>
        <v>1679.8467699918724</v>
      </c>
      <c r="I20" s="33">
        <f t="shared" si="4"/>
        <v>1747.0406407915473</v>
      </c>
      <c r="J20" s="33">
        <f t="shared" si="4"/>
        <v>1816.9222664232093</v>
      </c>
      <c r="K20" s="33">
        <f t="shared" si="4"/>
        <v>1889.5991570801377</v>
      </c>
      <c r="L20" s="33">
        <f t="shared" si="4"/>
        <v>1965.1831233633434</v>
      </c>
      <c r="M20" s="33">
        <f t="shared" si="4"/>
        <v>2043.7904482978772</v>
      </c>
      <c r="N20" s="33">
        <f t="shared" si="4"/>
        <v>2125.5420662297925</v>
      </c>
      <c r="O20" s="41"/>
      <c r="P20" s="35"/>
      <c r="Q20" s="36"/>
    </row>
    <row r="21" spans="1:18" ht="16.5" thickBot="1" x14ac:dyDescent="0.3">
      <c r="B21" s="37" t="s">
        <v>9</v>
      </c>
      <c r="C21" s="38">
        <f>(998.15*1.0812)*1.1</f>
        <v>1187.119758</v>
      </c>
      <c r="D21" s="39">
        <f>C21*1.04</f>
        <v>1234.60454832</v>
      </c>
      <c r="E21" s="39">
        <f>D21*1.04</f>
        <v>1283.9887302528</v>
      </c>
      <c r="F21" s="39">
        <f t="shared" si="4"/>
        <v>1335.3482794629119</v>
      </c>
      <c r="G21" s="39">
        <f t="shared" si="4"/>
        <v>1388.7622106414285</v>
      </c>
      <c r="H21" s="39">
        <f t="shared" si="4"/>
        <v>1444.3126990670858</v>
      </c>
      <c r="I21" s="39">
        <f t="shared" si="4"/>
        <v>1502.0852070297692</v>
      </c>
      <c r="J21" s="39">
        <f t="shared" si="4"/>
        <v>1562.1686153109599</v>
      </c>
      <c r="K21" s="39">
        <f t="shared" si="4"/>
        <v>1624.6553599233985</v>
      </c>
      <c r="L21" s="39">
        <f t="shared" si="4"/>
        <v>1689.6415743203345</v>
      </c>
      <c r="M21" s="39">
        <f t="shared" si="4"/>
        <v>1757.2272372931479</v>
      </c>
      <c r="N21" s="39">
        <f t="shared" si="4"/>
        <v>1827.5163267848739</v>
      </c>
      <c r="O21" s="39">
        <f t="shared" si="4"/>
        <v>1900.6169798562689</v>
      </c>
      <c r="P21" s="39">
        <f t="shared" si="4"/>
        <v>1976.6416590505198</v>
      </c>
      <c r="Q21" s="40">
        <f t="shared" si="4"/>
        <v>2055.7073254125407</v>
      </c>
    </row>
    <row r="22" spans="1:18" s="25" customFormat="1" x14ac:dyDescent="0.25">
      <c r="C22" s="42"/>
      <c r="D22" s="181"/>
      <c r="E22" s="181"/>
      <c r="F22" s="18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8" s="25" customFormat="1" ht="15.75" thickBot="1" x14ac:dyDescent="0.3">
      <c r="C23" s="42"/>
      <c r="D23" s="181"/>
      <c r="E23" s="181"/>
      <c r="F23" s="18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8" ht="15.75" thickBot="1" x14ac:dyDescent="0.3">
      <c r="B24" s="85" t="s">
        <v>113</v>
      </c>
      <c r="C24" s="86" t="s">
        <v>30</v>
      </c>
      <c r="D24" s="87" t="s">
        <v>29</v>
      </c>
      <c r="E24" s="87" t="s">
        <v>31</v>
      </c>
      <c r="F24" s="87" t="s">
        <v>32</v>
      </c>
      <c r="G24" s="87" t="s">
        <v>33</v>
      </c>
      <c r="H24" s="87" t="s">
        <v>34</v>
      </c>
      <c r="I24" s="87" t="s">
        <v>35</v>
      </c>
      <c r="J24" s="87" t="s">
        <v>36</v>
      </c>
      <c r="K24" s="87" t="s">
        <v>37</v>
      </c>
      <c r="L24" s="87" t="s">
        <v>38</v>
      </c>
      <c r="M24" s="87" t="s">
        <v>39</v>
      </c>
      <c r="N24" s="87" t="s">
        <v>40</v>
      </c>
      <c r="O24" s="87" t="s">
        <v>41</v>
      </c>
      <c r="P24" s="87" t="s">
        <v>42</v>
      </c>
      <c r="Q24" s="88" t="s">
        <v>43</v>
      </c>
      <c r="R24" s="62"/>
    </row>
    <row r="25" spans="1:18" ht="31.5" x14ac:dyDescent="0.25">
      <c r="B25" s="27" t="s">
        <v>159</v>
      </c>
      <c r="C25" s="28" t="s">
        <v>1</v>
      </c>
      <c r="D25" s="28" t="s">
        <v>2</v>
      </c>
      <c r="E25" s="28" t="s">
        <v>3</v>
      </c>
      <c r="F25" s="28" t="s">
        <v>4</v>
      </c>
      <c r="G25" s="28" t="s">
        <v>5</v>
      </c>
      <c r="H25" s="29" t="s">
        <v>6</v>
      </c>
      <c r="I25" s="28" t="s">
        <v>7</v>
      </c>
      <c r="J25" s="28" t="s">
        <v>8</v>
      </c>
      <c r="K25" s="28" t="s">
        <v>9</v>
      </c>
      <c r="L25" s="28" t="s">
        <v>10</v>
      </c>
      <c r="M25" s="28" t="s">
        <v>11</v>
      </c>
      <c r="N25" s="28" t="s">
        <v>12</v>
      </c>
      <c r="O25" s="28" t="s">
        <v>13</v>
      </c>
      <c r="P25" s="28" t="s">
        <v>14</v>
      </c>
      <c r="Q25" s="30" t="s">
        <v>15</v>
      </c>
    </row>
    <row r="26" spans="1:18" ht="16.5" thickBot="1" x14ac:dyDescent="0.3">
      <c r="B26" s="37" t="s">
        <v>9</v>
      </c>
      <c r="C26" s="38">
        <f>(771.4*1.0812)*1.1</f>
        <v>917.44144799999992</v>
      </c>
      <c r="D26" s="39">
        <f>C26*1.04</f>
        <v>954.13910591999991</v>
      </c>
      <c r="E26" s="39">
        <f>D26*1.04</f>
        <v>992.30467015679994</v>
      </c>
      <c r="F26" s="39">
        <f t="shared" ref="F26:Q26" si="5">E26*1.04</f>
        <v>1031.9968569630719</v>
      </c>
      <c r="G26" s="39">
        <f t="shared" si="5"/>
        <v>1073.2767312415947</v>
      </c>
      <c r="H26" s="39">
        <f t="shared" si="5"/>
        <v>1116.2078004912585</v>
      </c>
      <c r="I26" s="39">
        <f t="shared" si="5"/>
        <v>1160.8561125109088</v>
      </c>
      <c r="J26" s="39">
        <f t="shared" si="5"/>
        <v>1207.2903570113451</v>
      </c>
      <c r="K26" s="39">
        <f t="shared" si="5"/>
        <v>1255.5819712917989</v>
      </c>
      <c r="L26" s="39">
        <f t="shared" si="5"/>
        <v>1305.8052501434709</v>
      </c>
      <c r="M26" s="39">
        <f t="shared" si="5"/>
        <v>1358.0374601492097</v>
      </c>
      <c r="N26" s="39">
        <f t="shared" si="5"/>
        <v>1412.3589585551781</v>
      </c>
      <c r="O26" s="39">
        <f t="shared" si="5"/>
        <v>1468.8533168973852</v>
      </c>
      <c r="P26" s="39">
        <f t="shared" si="5"/>
        <v>1527.6074495732807</v>
      </c>
      <c r="Q26" s="40">
        <f t="shared" si="5"/>
        <v>1588.711747556212</v>
      </c>
    </row>
    <row r="30" spans="1:18" ht="15.75" thickBot="1" x14ac:dyDescent="0.3"/>
    <row r="31" spans="1:18" x14ac:dyDescent="0.25">
      <c r="C31" s="174" t="s">
        <v>25</v>
      </c>
      <c r="D31" s="178"/>
      <c r="E31" s="175"/>
      <c r="H31" s="176" t="s">
        <v>22</v>
      </c>
      <c r="I31" s="177"/>
      <c r="J31" s="93"/>
    </row>
    <row r="32" spans="1:18" ht="15.75" thickBot="1" x14ac:dyDescent="0.3">
      <c r="C32" s="12" t="s">
        <v>20</v>
      </c>
      <c r="D32" s="179">
        <v>1.1200000000000001</v>
      </c>
      <c r="E32" s="180"/>
      <c r="H32" s="10">
        <v>1.04</v>
      </c>
      <c r="I32" s="92">
        <v>1.08</v>
      </c>
      <c r="J32" s="43"/>
    </row>
  </sheetData>
  <mergeCells count="9">
    <mergeCell ref="H31:I31"/>
    <mergeCell ref="C31:E31"/>
    <mergeCell ref="D32:E32"/>
    <mergeCell ref="E1:L1"/>
    <mergeCell ref="B2:Q2"/>
    <mergeCell ref="D12:F12"/>
    <mergeCell ref="D17:F17"/>
    <mergeCell ref="D22:F22"/>
    <mergeCell ref="D23:F23"/>
  </mergeCells>
  <pageMargins left="0.511811024" right="0.511811024" top="0.78740157499999996" bottom="0.78740157499999996" header="0.31496062000000002" footer="0.31496062000000002"/>
  <pageSetup paperSize="9" scale="6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showGridLines="0" zoomScale="80" zoomScaleNormal="80" workbookViewId="0">
      <selection activeCell="B18" sqref="B18"/>
    </sheetView>
  </sheetViews>
  <sheetFormatPr defaultRowHeight="15" x14ac:dyDescent="0.25"/>
  <cols>
    <col min="2" max="2" width="25.28515625" customWidth="1"/>
    <col min="3" max="3" width="11.7109375" style="26" customWidth="1"/>
    <col min="4" max="4" width="12.140625" style="26" customWidth="1"/>
    <col min="5" max="5" width="12.42578125" style="26" customWidth="1"/>
    <col min="6" max="17" width="11.7109375" style="26" customWidth="1"/>
  </cols>
  <sheetData>
    <row r="1" spans="1:18" ht="69.95" customHeight="1" x14ac:dyDescent="0.35">
      <c r="C1"/>
      <c r="D1"/>
      <c r="E1" s="139" t="s">
        <v>124</v>
      </c>
      <c r="F1" s="139"/>
      <c r="G1" s="139"/>
      <c r="H1" s="139"/>
      <c r="I1" s="139"/>
      <c r="J1" s="139"/>
      <c r="K1" s="139"/>
      <c r="L1" s="139"/>
      <c r="M1" s="81"/>
      <c r="N1" s="81"/>
      <c r="O1"/>
      <c r="P1"/>
      <c r="Q1"/>
    </row>
    <row r="2" spans="1:18" s="84" customFormat="1" ht="24.95" customHeight="1" thickBot="1" x14ac:dyDescent="0.3">
      <c r="A2" s="83"/>
      <c r="B2" s="140" t="s">
        <v>125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83"/>
    </row>
    <row r="3" spans="1:18" ht="15.75" thickBot="1" x14ac:dyDescent="0.3">
      <c r="B3" s="85" t="s">
        <v>113</v>
      </c>
      <c r="C3" s="86" t="s">
        <v>30</v>
      </c>
      <c r="D3" s="87" t="s">
        <v>29</v>
      </c>
      <c r="E3" s="87" t="s">
        <v>31</v>
      </c>
      <c r="F3" s="87" t="s">
        <v>32</v>
      </c>
      <c r="G3" s="87" t="s">
        <v>33</v>
      </c>
      <c r="H3" s="87" t="s">
        <v>34</v>
      </c>
      <c r="I3" s="87" t="s">
        <v>35</v>
      </c>
      <c r="J3" s="87" t="s">
        <v>36</v>
      </c>
      <c r="K3" s="87" t="s">
        <v>37</v>
      </c>
      <c r="L3" s="87" t="s">
        <v>38</v>
      </c>
      <c r="M3" s="87" t="s">
        <v>39</v>
      </c>
      <c r="N3" s="87" t="s">
        <v>40</v>
      </c>
      <c r="O3" s="87" t="s">
        <v>41</v>
      </c>
      <c r="P3" s="87" t="s">
        <v>42</v>
      </c>
      <c r="Q3" s="88" t="s">
        <v>43</v>
      </c>
      <c r="R3" s="62"/>
    </row>
    <row r="4" spans="1:18" ht="48" thickBot="1" x14ac:dyDescent="0.3">
      <c r="B4" s="27" t="s">
        <v>46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9" t="s">
        <v>56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8" t="s">
        <v>13</v>
      </c>
      <c r="P4" s="28" t="s">
        <v>14</v>
      </c>
      <c r="Q4" s="30" t="s">
        <v>15</v>
      </c>
    </row>
    <row r="5" spans="1:18" ht="16.5" thickBot="1" x14ac:dyDescent="0.3">
      <c r="A5" s="90" t="s">
        <v>28</v>
      </c>
      <c r="B5" s="31" t="s">
        <v>17</v>
      </c>
      <c r="C5" s="32">
        <f>C6*1.12</f>
        <v>4621.4999631359997</v>
      </c>
      <c r="D5" s="34">
        <f>C5*1.08</f>
        <v>4991.2199601868797</v>
      </c>
      <c r="E5" s="33">
        <f>D5*1.04</f>
        <v>5190.8687585943553</v>
      </c>
      <c r="F5" s="33">
        <f t="shared" ref="F5:Q6" si="0">E5*1.04</f>
        <v>5398.5035089381299</v>
      </c>
      <c r="G5" s="33">
        <f t="shared" si="0"/>
        <v>5614.4436492956556</v>
      </c>
      <c r="H5" s="33">
        <f>G5*1.04</f>
        <v>5839.0213952674821</v>
      </c>
      <c r="I5" s="33">
        <f t="shared" si="0"/>
        <v>6072.5822510781818</v>
      </c>
      <c r="J5" s="33">
        <f t="shared" si="0"/>
        <v>6315.4855411213093</v>
      </c>
      <c r="K5" s="33">
        <f t="shared" si="0"/>
        <v>6568.1049627661623</v>
      </c>
      <c r="L5" s="33">
        <f t="shared" si="0"/>
        <v>6830.8291612768089</v>
      </c>
      <c r="M5" s="33">
        <f t="shared" si="0"/>
        <v>7104.0623277278819</v>
      </c>
      <c r="N5" s="33">
        <f t="shared" si="0"/>
        <v>7388.2248208369974</v>
      </c>
      <c r="O5" s="35"/>
      <c r="P5" s="35"/>
      <c r="Q5" s="36"/>
    </row>
    <row r="6" spans="1:18" ht="16.5" thickBot="1" x14ac:dyDescent="0.3">
      <c r="B6" s="37" t="s">
        <v>9</v>
      </c>
      <c r="C6" s="38">
        <f>(3180.37*1.0812)*1.2</f>
        <v>4126.3392527999995</v>
      </c>
      <c r="D6" s="39">
        <f>C6*1.04</f>
        <v>4291.3928229119992</v>
      </c>
      <c r="E6" s="39">
        <f>D6*1.04</f>
        <v>4463.0485358284795</v>
      </c>
      <c r="F6" s="39">
        <f t="shared" si="0"/>
        <v>4641.5704772616191</v>
      </c>
      <c r="G6" s="39">
        <f t="shared" si="0"/>
        <v>4827.2332963520839</v>
      </c>
      <c r="H6" s="39">
        <f t="shared" si="0"/>
        <v>5020.3226282061678</v>
      </c>
      <c r="I6" s="39">
        <f t="shared" si="0"/>
        <v>5221.1355333344145</v>
      </c>
      <c r="J6" s="39">
        <f t="shared" si="0"/>
        <v>5429.9809546677916</v>
      </c>
      <c r="K6" s="39">
        <f t="shared" si="0"/>
        <v>5647.1801928545037</v>
      </c>
      <c r="L6" s="39">
        <f t="shared" si="0"/>
        <v>5873.0674005686842</v>
      </c>
      <c r="M6" s="39">
        <f t="shared" si="0"/>
        <v>6107.9900965914321</v>
      </c>
      <c r="N6" s="39">
        <f t="shared" si="0"/>
        <v>6352.30970045509</v>
      </c>
      <c r="O6" s="39">
        <f t="shared" si="0"/>
        <v>6606.4020884732936</v>
      </c>
      <c r="P6" s="39">
        <f t="shared" si="0"/>
        <v>6870.6581720122258</v>
      </c>
      <c r="Q6" s="40">
        <f t="shared" si="0"/>
        <v>7145.4844988927152</v>
      </c>
    </row>
    <row r="7" spans="1:18" ht="15.75" thickBot="1" x14ac:dyDescent="0.3">
      <c r="D7" s="182"/>
      <c r="E7" s="183"/>
      <c r="F7" s="184"/>
    </row>
    <row r="8" spans="1:18" ht="15.75" thickBot="1" x14ac:dyDescent="0.3">
      <c r="B8" s="85" t="s">
        <v>113</v>
      </c>
      <c r="C8" s="86" t="s">
        <v>30</v>
      </c>
      <c r="D8" s="87" t="s">
        <v>29</v>
      </c>
      <c r="E8" s="87" t="s">
        <v>31</v>
      </c>
      <c r="F8" s="87" t="s">
        <v>32</v>
      </c>
      <c r="G8" s="87" t="s">
        <v>33</v>
      </c>
      <c r="H8" s="87" t="s">
        <v>34</v>
      </c>
      <c r="I8" s="87" t="s">
        <v>35</v>
      </c>
      <c r="J8" s="87" t="s">
        <v>36</v>
      </c>
      <c r="K8" s="87" t="s">
        <v>37</v>
      </c>
      <c r="L8" s="87" t="s">
        <v>38</v>
      </c>
      <c r="M8" s="87" t="s">
        <v>39</v>
      </c>
      <c r="N8" s="87" t="s">
        <v>40</v>
      </c>
      <c r="O8" s="87" t="s">
        <v>41</v>
      </c>
      <c r="P8" s="87" t="s">
        <v>42</v>
      </c>
      <c r="Q8" s="88" t="s">
        <v>43</v>
      </c>
      <c r="R8" s="62"/>
    </row>
    <row r="9" spans="1:18" ht="32.25" thickBot="1" x14ac:dyDescent="0.3">
      <c r="B9" s="27" t="s">
        <v>152</v>
      </c>
      <c r="C9" s="28" t="s">
        <v>1</v>
      </c>
      <c r="D9" s="28" t="s">
        <v>2</v>
      </c>
      <c r="E9" s="28" t="s">
        <v>3</v>
      </c>
      <c r="F9" s="28" t="s">
        <v>4</v>
      </c>
      <c r="G9" s="28" t="s">
        <v>5</v>
      </c>
      <c r="H9" s="29" t="s">
        <v>56</v>
      </c>
      <c r="I9" s="28" t="s">
        <v>7</v>
      </c>
      <c r="J9" s="28" t="s">
        <v>8</v>
      </c>
      <c r="K9" s="28" t="s">
        <v>9</v>
      </c>
      <c r="L9" s="28" t="s">
        <v>10</v>
      </c>
      <c r="M9" s="28" t="s">
        <v>11</v>
      </c>
      <c r="N9" s="28" t="s">
        <v>12</v>
      </c>
      <c r="O9" s="28" t="s">
        <v>13</v>
      </c>
      <c r="P9" s="28" t="s">
        <v>14</v>
      </c>
      <c r="Q9" s="30" t="s">
        <v>15</v>
      </c>
    </row>
    <row r="10" spans="1:18" ht="16.5" thickBot="1" x14ac:dyDescent="0.3">
      <c r="A10" s="90" t="s">
        <v>28</v>
      </c>
      <c r="B10" s="31" t="s">
        <v>17</v>
      </c>
      <c r="C10" s="32">
        <f>C11*1.12</f>
        <v>3632.8320000000003</v>
      </c>
      <c r="D10" s="34">
        <f>C10*1.08</f>
        <v>3923.4585600000005</v>
      </c>
      <c r="E10" s="33">
        <f>D10*1.04</f>
        <v>4080.3969024000007</v>
      </c>
      <c r="F10" s="33">
        <f t="shared" ref="F10:H11" si="1">E10*1.04</f>
        <v>4243.6127784960008</v>
      </c>
      <c r="G10" s="33">
        <f t="shared" si="1"/>
        <v>4413.357289635841</v>
      </c>
      <c r="H10" s="33">
        <f>G10*1.04</f>
        <v>4589.8915812212745</v>
      </c>
      <c r="I10" s="33">
        <f t="shared" ref="I10:Q11" si="2">H10*1.04</f>
        <v>4773.4872444701259</v>
      </c>
      <c r="J10" s="33">
        <f t="shared" si="2"/>
        <v>4964.4267342489311</v>
      </c>
      <c r="K10" s="33">
        <f t="shared" si="2"/>
        <v>5163.0038036188889</v>
      </c>
      <c r="L10" s="33">
        <f t="shared" si="2"/>
        <v>5369.5239557636451</v>
      </c>
      <c r="M10" s="33">
        <f t="shared" si="2"/>
        <v>5584.3049139941913</v>
      </c>
      <c r="N10" s="33">
        <f t="shared" si="2"/>
        <v>5807.6771105539592</v>
      </c>
      <c r="O10" s="35"/>
      <c r="P10" s="35"/>
      <c r="Q10" s="36"/>
    </row>
    <row r="11" spans="1:18" ht="16.5" thickBot="1" x14ac:dyDescent="0.3">
      <c r="B11" s="37" t="s">
        <v>9</v>
      </c>
      <c r="C11" s="38">
        <f>(2500*1.0812)*1.2</f>
        <v>3243.6</v>
      </c>
      <c r="D11" s="39">
        <f>C11*1.04</f>
        <v>3373.3440000000001</v>
      </c>
      <c r="E11" s="39">
        <f>D11*1.04</f>
        <v>3508.2777600000004</v>
      </c>
      <c r="F11" s="39">
        <f t="shared" si="1"/>
        <v>3648.6088704000003</v>
      </c>
      <c r="G11" s="39">
        <f t="shared" si="1"/>
        <v>3794.5532252160006</v>
      </c>
      <c r="H11" s="39">
        <f t="shared" si="1"/>
        <v>3946.3353542246409</v>
      </c>
      <c r="I11" s="39">
        <f t="shared" si="2"/>
        <v>4104.1887683936266</v>
      </c>
      <c r="J11" s="39">
        <f t="shared" si="2"/>
        <v>4268.3563191293715</v>
      </c>
      <c r="K11" s="39">
        <f t="shared" si="2"/>
        <v>4439.0905718945469</v>
      </c>
      <c r="L11" s="39">
        <f t="shared" si="2"/>
        <v>4616.654194770329</v>
      </c>
      <c r="M11" s="39">
        <f t="shared" si="2"/>
        <v>4801.3203625611422</v>
      </c>
      <c r="N11" s="39">
        <f t="shared" si="2"/>
        <v>4993.3731770635877</v>
      </c>
      <c r="O11" s="39">
        <f t="shared" si="2"/>
        <v>5193.1081041461312</v>
      </c>
      <c r="P11" s="39">
        <f t="shared" si="2"/>
        <v>5400.8324283119764</v>
      </c>
      <c r="Q11" s="40">
        <f t="shared" si="2"/>
        <v>5616.8657254444561</v>
      </c>
    </row>
    <row r="12" spans="1:18" ht="15.75" thickBot="1" x14ac:dyDescent="0.3">
      <c r="A12" s="25"/>
      <c r="B12" s="25"/>
      <c r="C12" s="42"/>
      <c r="D12" s="182"/>
      <c r="E12" s="183"/>
      <c r="F12" s="184"/>
    </row>
    <row r="13" spans="1:18" ht="15.75" thickBot="1" x14ac:dyDescent="0.3">
      <c r="B13" s="85" t="s">
        <v>113</v>
      </c>
      <c r="C13" s="86" t="s">
        <v>30</v>
      </c>
      <c r="D13" s="87" t="s">
        <v>29</v>
      </c>
      <c r="E13" s="87" t="s">
        <v>31</v>
      </c>
      <c r="F13" s="87" t="s">
        <v>32</v>
      </c>
      <c r="G13" s="87" t="s">
        <v>33</v>
      </c>
      <c r="H13" s="87" t="s">
        <v>34</v>
      </c>
      <c r="I13" s="87" t="s">
        <v>35</v>
      </c>
      <c r="J13" s="87" t="s">
        <v>36</v>
      </c>
      <c r="K13" s="87" t="s">
        <v>37</v>
      </c>
      <c r="L13" s="87" t="s">
        <v>38</v>
      </c>
      <c r="M13" s="87" t="s">
        <v>39</v>
      </c>
      <c r="N13" s="87" t="s">
        <v>40</v>
      </c>
      <c r="O13" s="87" t="s">
        <v>41</v>
      </c>
      <c r="P13" s="87" t="s">
        <v>42</v>
      </c>
      <c r="Q13" s="88" t="s">
        <v>43</v>
      </c>
      <c r="R13" s="62"/>
    </row>
    <row r="14" spans="1:18" ht="32.25" thickBot="1" x14ac:dyDescent="0.3">
      <c r="B14" s="27" t="s">
        <v>160</v>
      </c>
      <c r="C14" s="28" t="s">
        <v>1</v>
      </c>
      <c r="D14" s="28" t="s">
        <v>2</v>
      </c>
      <c r="E14" s="28" t="s">
        <v>3</v>
      </c>
      <c r="F14" s="28" t="s">
        <v>4</v>
      </c>
      <c r="G14" s="28" t="s">
        <v>5</v>
      </c>
      <c r="H14" s="29" t="s">
        <v>56</v>
      </c>
      <c r="I14" s="28" t="s">
        <v>7</v>
      </c>
      <c r="J14" s="28" t="s">
        <v>8</v>
      </c>
      <c r="K14" s="28" t="s">
        <v>9</v>
      </c>
      <c r="L14" s="28" t="s">
        <v>10</v>
      </c>
      <c r="M14" s="28" t="s">
        <v>11</v>
      </c>
      <c r="N14" s="28" t="s">
        <v>12</v>
      </c>
      <c r="O14" s="28" t="s">
        <v>13</v>
      </c>
      <c r="P14" s="28" t="s">
        <v>14</v>
      </c>
      <c r="Q14" s="30" t="s">
        <v>15</v>
      </c>
    </row>
    <row r="15" spans="1:18" ht="16.5" thickBot="1" x14ac:dyDescent="0.3">
      <c r="A15" s="90" t="s">
        <v>28</v>
      </c>
      <c r="B15" s="31" t="s">
        <v>17</v>
      </c>
      <c r="C15" s="32">
        <f>C16*1.12</f>
        <v>2722.2989875200001</v>
      </c>
      <c r="D15" s="34">
        <f>C15*1.08</f>
        <v>2940.0829065216003</v>
      </c>
      <c r="E15" s="33">
        <f>D15*1.04</f>
        <v>3057.6862227824645</v>
      </c>
      <c r="F15" s="33">
        <f t="shared" ref="F15:Q16" si="3">E15*1.04</f>
        <v>3179.9936716937632</v>
      </c>
      <c r="G15" s="33">
        <f t="shared" si="3"/>
        <v>3307.1934185615137</v>
      </c>
      <c r="H15" s="33">
        <f>G15*1.04</f>
        <v>3439.4811553039744</v>
      </c>
      <c r="I15" s="33">
        <f t="shared" si="3"/>
        <v>3577.0604015161334</v>
      </c>
      <c r="J15" s="33">
        <f t="shared" si="3"/>
        <v>3720.1428175767787</v>
      </c>
      <c r="K15" s="33">
        <f t="shared" si="3"/>
        <v>3868.9485302798498</v>
      </c>
      <c r="L15" s="33">
        <f t="shared" si="3"/>
        <v>4023.7064714910439</v>
      </c>
      <c r="M15" s="33">
        <f t="shared" si="3"/>
        <v>4184.6547303506859</v>
      </c>
      <c r="N15" s="33">
        <f t="shared" si="3"/>
        <v>4352.0409195647135</v>
      </c>
      <c r="O15" s="35"/>
      <c r="P15" s="35"/>
      <c r="Q15" s="36"/>
    </row>
    <row r="16" spans="1:18" ht="16.5" thickBot="1" x14ac:dyDescent="0.3">
      <c r="B16" s="37" t="s">
        <v>9</v>
      </c>
      <c r="C16" s="38">
        <f>(1873.4*1.0812)*1.2</f>
        <v>2430.624096</v>
      </c>
      <c r="D16" s="39">
        <f>C16*1.04</f>
        <v>2527.8490598399999</v>
      </c>
      <c r="E16" s="39">
        <f>D16*1.04</f>
        <v>2628.9630222336</v>
      </c>
      <c r="F16" s="39">
        <f t="shared" si="3"/>
        <v>2734.1215431229439</v>
      </c>
      <c r="G16" s="39">
        <f t="shared" si="3"/>
        <v>2843.4864048478616</v>
      </c>
      <c r="H16" s="39">
        <f t="shared" si="3"/>
        <v>2957.2258610417762</v>
      </c>
      <c r="I16" s="39">
        <f t="shared" si="3"/>
        <v>3075.5148954834472</v>
      </c>
      <c r="J16" s="39">
        <f t="shared" si="3"/>
        <v>3198.535491302785</v>
      </c>
      <c r="K16" s="39">
        <f t="shared" si="3"/>
        <v>3326.4769109548965</v>
      </c>
      <c r="L16" s="39">
        <f t="shared" si="3"/>
        <v>3459.5359873930925</v>
      </c>
      <c r="M16" s="39">
        <f t="shared" si="3"/>
        <v>3597.9174268888164</v>
      </c>
      <c r="N16" s="39">
        <f t="shared" si="3"/>
        <v>3741.8341239643692</v>
      </c>
      <c r="O16" s="39">
        <f t="shared" si="3"/>
        <v>3891.507488922944</v>
      </c>
      <c r="P16" s="39">
        <f t="shared" si="3"/>
        <v>4047.1677884798619</v>
      </c>
      <c r="Q16" s="40">
        <f t="shared" si="3"/>
        <v>4209.0545000190568</v>
      </c>
    </row>
    <row r="17" spans="1:18" ht="15.75" thickBot="1" x14ac:dyDescent="0.3">
      <c r="A17" s="25"/>
      <c r="D17" s="182"/>
      <c r="E17" s="183"/>
      <c r="F17" s="184"/>
    </row>
    <row r="18" spans="1:18" ht="15.75" thickBot="1" x14ac:dyDescent="0.3">
      <c r="B18" s="85" t="s">
        <v>113</v>
      </c>
      <c r="C18" s="86" t="s">
        <v>30</v>
      </c>
      <c r="D18" s="87" t="s">
        <v>29</v>
      </c>
      <c r="E18" s="87" t="s">
        <v>31</v>
      </c>
      <c r="F18" s="87" t="s">
        <v>32</v>
      </c>
      <c r="G18" s="87" t="s">
        <v>33</v>
      </c>
      <c r="H18" s="87" t="s">
        <v>34</v>
      </c>
      <c r="I18" s="87" t="s">
        <v>35</v>
      </c>
      <c r="J18" s="87" t="s">
        <v>36</v>
      </c>
      <c r="K18" s="87" t="s">
        <v>37</v>
      </c>
      <c r="L18" s="87" t="s">
        <v>38</v>
      </c>
      <c r="M18" s="87" t="s">
        <v>39</v>
      </c>
      <c r="N18" s="87" t="s">
        <v>40</v>
      </c>
      <c r="O18" s="87" t="s">
        <v>41</v>
      </c>
      <c r="P18" s="87" t="s">
        <v>42</v>
      </c>
      <c r="Q18" s="88" t="s">
        <v>43</v>
      </c>
      <c r="R18" s="62"/>
    </row>
    <row r="19" spans="1:18" ht="32.25" thickBot="1" x14ac:dyDescent="0.3">
      <c r="B19" s="27" t="s">
        <v>162</v>
      </c>
      <c r="C19" s="28" t="s">
        <v>1</v>
      </c>
      <c r="D19" s="28" t="s">
        <v>2</v>
      </c>
      <c r="E19" s="28" t="s">
        <v>3</v>
      </c>
      <c r="F19" s="28" t="s">
        <v>4</v>
      </c>
      <c r="G19" s="28" t="s">
        <v>5</v>
      </c>
      <c r="H19" s="29" t="s">
        <v>6</v>
      </c>
      <c r="I19" s="28" t="s">
        <v>7</v>
      </c>
      <c r="J19" s="28" t="s">
        <v>8</v>
      </c>
      <c r="K19" s="28" t="s">
        <v>9</v>
      </c>
      <c r="L19" s="28" t="s">
        <v>10</v>
      </c>
      <c r="M19" s="28" t="s">
        <v>11</v>
      </c>
      <c r="N19" s="28" t="s">
        <v>12</v>
      </c>
      <c r="O19" s="28" t="s">
        <v>13</v>
      </c>
      <c r="P19" s="28" t="s">
        <v>14</v>
      </c>
      <c r="Q19" s="30" t="s">
        <v>15</v>
      </c>
    </row>
    <row r="20" spans="1:18" ht="16.5" thickBot="1" x14ac:dyDescent="0.3">
      <c r="A20" s="90" t="s">
        <v>28</v>
      </c>
      <c r="B20" s="31" t="s">
        <v>17</v>
      </c>
      <c r="C20" s="32">
        <f>C21*1.12</f>
        <v>1450.4445043200001</v>
      </c>
      <c r="D20" s="34">
        <f>C20*1.08</f>
        <v>1566.4800646656001</v>
      </c>
      <c r="E20" s="33">
        <f>D20*1.04</f>
        <v>1629.1392672522243</v>
      </c>
      <c r="F20" s="33">
        <f t="shared" ref="F20:Q21" si="4">E20*1.04</f>
        <v>1694.3048379423133</v>
      </c>
      <c r="G20" s="33">
        <f t="shared" si="4"/>
        <v>1762.0770314600059</v>
      </c>
      <c r="H20" s="33">
        <f>G20*1.04</f>
        <v>1832.5601127184061</v>
      </c>
      <c r="I20" s="33">
        <f t="shared" si="4"/>
        <v>1905.8625172271425</v>
      </c>
      <c r="J20" s="33">
        <f t="shared" si="4"/>
        <v>1982.0970179162282</v>
      </c>
      <c r="K20" s="33">
        <f t="shared" si="4"/>
        <v>2061.3808986328772</v>
      </c>
      <c r="L20" s="33">
        <f t="shared" si="4"/>
        <v>2143.8361345781923</v>
      </c>
      <c r="M20" s="33">
        <f t="shared" si="4"/>
        <v>2229.5895799613199</v>
      </c>
      <c r="N20" s="33">
        <f t="shared" si="4"/>
        <v>2318.7731631597726</v>
      </c>
      <c r="O20" s="35"/>
      <c r="P20" s="35"/>
      <c r="Q20" s="36"/>
    </row>
    <row r="21" spans="1:18" ht="16.5" thickBot="1" x14ac:dyDescent="0.3">
      <c r="B21" s="37" t="s">
        <v>9</v>
      </c>
      <c r="C21" s="38">
        <f>(998.15*1.0812)*1.2</f>
        <v>1295.0397359999999</v>
      </c>
      <c r="D21" s="39">
        <f>C21*1.04</f>
        <v>1346.84132544</v>
      </c>
      <c r="E21" s="39">
        <f>D21*1.04</f>
        <v>1400.7149784576</v>
      </c>
      <c r="F21" s="39">
        <f t="shared" si="4"/>
        <v>1456.7435775959041</v>
      </c>
      <c r="G21" s="39">
        <f t="shared" si="4"/>
        <v>1515.0133206997402</v>
      </c>
      <c r="H21" s="39">
        <f t="shared" si="4"/>
        <v>1575.6138535277298</v>
      </c>
      <c r="I21" s="39">
        <f t="shared" si="4"/>
        <v>1638.6384076688391</v>
      </c>
      <c r="J21" s="39">
        <f t="shared" si="4"/>
        <v>1704.1839439755927</v>
      </c>
      <c r="K21" s="39">
        <f t="shared" si="4"/>
        <v>1772.3513017346165</v>
      </c>
      <c r="L21" s="39">
        <f t="shared" si="4"/>
        <v>1843.2453538040013</v>
      </c>
      <c r="M21" s="39">
        <f t="shared" si="4"/>
        <v>1916.9751679561614</v>
      </c>
      <c r="N21" s="39">
        <f t="shared" si="4"/>
        <v>1993.6541746744078</v>
      </c>
      <c r="O21" s="39">
        <f t="shared" si="4"/>
        <v>2073.4003416613841</v>
      </c>
      <c r="P21" s="39">
        <f t="shared" si="4"/>
        <v>2156.3363553278396</v>
      </c>
      <c r="Q21" s="40">
        <f t="shared" si="4"/>
        <v>2242.5898095409534</v>
      </c>
    </row>
    <row r="22" spans="1:18" s="25" customFormat="1" x14ac:dyDescent="0.25">
      <c r="C22" s="42"/>
      <c r="D22" s="181"/>
      <c r="E22" s="181"/>
      <c r="F22" s="18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8" s="25" customFormat="1" ht="15.75" thickBot="1" x14ac:dyDescent="0.3">
      <c r="C23" s="42"/>
      <c r="D23" s="181"/>
      <c r="E23" s="181"/>
      <c r="F23" s="18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8" ht="15.75" thickBot="1" x14ac:dyDescent="0.3">
      <c r="B24" s="85" t="s">
        <v>113</v>
      </c>
      <c r="C24" s="86" t="s">
        <v>30</v>
      </c>
      <c r="D24" s="87" t="s">
        <v>29</v>
      </c>
      <c r="E24" s="87" t="s">
        <v>31</v>
      </c>
      <c r="F24" s="87" t="s">
        <v>32</v>
      </c>
      <c r="G24" s="87" t="s">
        <v>33</v>
      </c>
      <c r="H24" s="87" t="s">
        <v>34</v>
      </c>
      <c r="I24" s="87" t="s">
        <v>35</v>
      </c>
      <c r="J24" s="87" t="s">
        <v>36</v>
      </c>
      <c r="K24" s="87" t="s">
        <v>37</v>
      </c>
      <c r="L24" s="87" t="s">
        <v>38</v>
      </c>
      <c r="M24" s="87" t="s">
        <v>39</v>
      </c>
      <c r="N24" s="87" t="s">
        <v>40</v>
      </c>
      <c r="O24" s="87" t="s">
        <v>41</v>
      </c>
      <c r="P24" s="87" t="s">
        <v>42</v>
      </c>
      <c r="Q24" s="88" t="s">
        <v>43</v>
      </c>
      <c r="R24" s="62"/>
    </row>
    <row r="25" spans="1:18" ht="31.5" x14ac:dyDescent="0.25">
      <c r="B25" s="27" t="s">
        <v>159</v>
      </c>
      <c r="C25" s="28" t="s">
        <v>1</v>
      </c>
      <c r="D25" s="28" t="s">
        <v>2</v>
      </c>
      <c r="E25" s="28" t="s">
        <v>3</v>
      </c>
      <c r="F25" s="28" t="s">
        <v>4</v>
      </c>
      <c r="G25" s="28" t="s">
        <v>5</v>
      </c>
      <c r="H25" s="29" t="s">
        <v>6</v>
      </c>
      <c r="I25" s="28" t="s">
        <v>7</v>
      </c>
      <c r="J25" s="28" t="s">
        <v>8</v>
      </c>
      <c r="K25" s="28" t="s">
        <v>9</v>
      </c>
      <c r="L25" s="28" t="s">
        <v>10</v>
      </c>
      <c r="M25" s="28" t="s">
        <v>11</v>
      </c>
      <c r="N25" s="28" t="s">
        <v>12</v>
      </c>
      <c r="O25" s="28" t="s">
        <v>13</v>
      </c>
      <c r="P25" s="28" t="s">
        <v>14</v>
      </c>
      <c r="Q25" s="30" t="s">
        <v>15</v>
      </c>
    </row>
    <row r="26" spans="1:18" ht="16.5" thickBot="1" x14ac:dyDescent="0.3">
      <c r="B26" s="37" t="s">
        <v>9</v>
      </c>
      <c r="C26" s="38">
        <f>(771.4*1.0812)*1.2</f>
        <v>1000.8452159999998</v>
      </c>
      <c r="D26" s="39">
        <f>C26*1.04</f>
        <v>1040.8790246399999</v>
      </c>
      <c r="E26" s="39">
        <f>D26*1.04</f>
        <v>1082.5141856256</v>
      </c>
      <c r="F26" s="39">
        <f t="shared" ref="F26:Q26" si="5">E26*1.04</f>
        <v>1125.8147530506239</v>
      </c>
      <c r="G26" s="39">
        <f t="shared" si="5"/>
        <v>1170.8473431726488</v>
      </c>
      <c r="H26" s="39">
        <f t="shared" si="5"/>
        <v>1217.6812368995547</v>
      </c>
      <c r="I26" s="39">
        <f t="shared" si="5"/>
        <v>1266.388486375537</v>
      </c>
      <c r="J26" s="39">
        <f t="shared" si="5"/>
        <v>1317.0440258305584</v>
      </c>
      <c r="K26" s="39">
        <f t="shared" si="5"/>
        <v>1369.7257868637807</v>
      </c>
      <c r="L26" s="39">
        <f t="shared" si="5"/>
        <v>1424.5148183383319</v>
      </c>
      <c r="M26" s="39">
        <f t="shared" si="5"/>
        <v>1481.4954110718652</v>
      </c>
      <c r="N26" s="39">
        <f t="shared" si="5"/>
        <v>1540.7552275147398</v>
      </c>
      <c r="O26" s="39">
        <f t="shared" si="5"/>
        <v>1602.3854366153294</v>
      </c>
      <c r="P26" s="39">
        <f t="shared" si="5"/>
        <v>1666.4808540799427</v>
      </c>
      <c r="Q26" s="40">
        <f t="shared" si="5"/>
        <v>1733.1400882431406</v>
      </c>
    </row>
    <row r="27" spans="1:18" s="25" customFormat="1" x14ac:dyDescent="0.25">
      <c r="C27" s="42"/>
      <c r="D27" s="181"/>
      <c r="E27" s="181"/>
      <c r="F27" s="181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30" spans="1:18" ht="15.75" thickBot="1" x14ac:dyDescent="0.3"/>
    <row r="31" spans="1:18" x14ac:dyDescent="0.25">
      <c r="C31" s="174" t="s">
        <v>25</v>
      </c>
      <c r="D31" s="178"/>
      <c r="E31" s="175"/>
      <c r="H31" s="176" t="s">
        <v>22</v>
      </c>
      <c r="I31" s="177"/>
    </row>
    <row r="32" spans="1:18" ht="15.75" thickBot="1" x14ac:dyDescent="0.3">
      <c r="C32" s="12" t="s">
        <v>20</v>
      </c>
      <c r="D32" s="179">
        <v>1.1200000000000001</v>
      </c>
      <c r="E32" s="180"/>
      <c r="H32" s="10">
        <v>1.04</v>
      </c>
      <c r="I32" s="92">
        <v>1.08</v>
      </c>
    </row>
  </sheetData>
  <mergeCells count="11">
    <mergeCell ref="H31:I31"/>
    <mergeCell ref="C31:E31"/>
    <mergeCell ref="D32:E32"/>
    <mergeCell ref="E1:L1"/>
    <mergeCell ref="B2:Q2"/>
    <mergeCell ref="D27:F27"/>
    <mergeCell ref="D7:F7"/>
    <mergeCell ref="D12:F12"/>
    <mergeCell ref="D17:F17"/>
    <mergeCell ref="D22:F22"/>
    <mergeCell ref="D23:F23"/>
  </mergeCells>
  <pageMargins left="0.511811024" right="0.511811024" top="0.78740157499999996" bottom="0.78740157499999996" header="0.31496062000000002" footer="0.31496062000000002"/>
  <pageSetup paperSize="9" scale="6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workbookViewId="0">
      <selection activeCell="H15" sqref="H15"/>
    </sheetView>
  </sheetViews>
  <sheetFormatPr defaultRowHeight="15" x14ac:dyDescent="0.25"/>
  <cols>
    <col min="1" max="1" width="9.140625" style="21"/>
    <col min="2" max="2" width="20.7109375" customWidth="1"/>
    <col min="3" max="3" width="9.140625" customWidth="1"/>
  </cols>
  <sheetData>
    <row r="1" spans="1:17" ht="70.5" customHeight="1" x14ac:dyDescent="0.35">
      <c r="B1" s="139" t="s">
        <v>128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4" customHeight="1" x14ac:dyDescent="0.25">
      <c r="B2" s="187" t="s">
        <v>141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8.25" customHeight="1" thickBot="1" x14ac:dyDescent="0.3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5.75" thickBot="1" x14ac:dyDescent="0.3">
      <c r="A4"/>
      <c r="B4" s="85" t="s">
        <v>113</v>
      </c>
      <c r="C4" s="86" t="s">
        <v>30</v>
      </c>
      <c r="D4" s="87" t="s">
        <v>29</v>
      </c>
      <c r="E4" s="87" t="s">
        <v>31</v>
      </c>
      <c r="F4" s="87" t="s">
        <v>32</v>
      </c>
      <c r="G4" s="87" t="s">
        <v>33</v>
      </c>
      <c r="H4" s="87" t="s">
        <v>34</v>
      </c>
      <c r="I4" s="87" t="s">
        <v>35</v>
      </c>
      <c r="J4" s="87" t="s">
        <v>36</v>
      </c>
      <c r="K4" s="87" t="s">
        <v>37</v>
      </c>
      <c r="L4" s="87" t="s">
        <v>38</v>
      </c>
      <c r="M4" s="87" t="s">
        <v>39</v>
      </c>
      <c r="N4" s="87" t="s">
        <v>40</v>
      </c>
      <c r="O4" s="87" t="s">
        <v>41</v>
      </c>
      <c r="P4" s="87" t="s">
        <v>42</v>
      </c>
      <c r="Q4" s="88" t="s">
        <v>43</v>
      </c>
    </row>
    <row r="5" spans="1:17" ht="26.25" thickBot="1" x14ac:dyDescent="0.3">
      <c r="B5" s="101" t="s">
        <v>138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9" t="s">
        <v>56</v>
      </c>
      <c r="I5" s="28" t="s">
        <v>7</v>
      </c>
      <c r="J5" s="28" t="s">
        <v>8</v>
      </c>
      <c r="K5" s="28" t="s">
        <v>9</v>
      </c>
      <c r="L5" s="28" t="s">
        <v>10</v>
      </c>
      <c r="M5" s="28" t="s">
        <v>11</v>
      </c>
      <c r="N5" s="28" t="s">
        <v>12</v>
      </c>
      <c r="O5" s="28" t="s">
        <v>13</v>
      </c>
      <c r="P5" s="28" t="s">
        <v>14</v>
      </c>
      <c r="Q5" s="30" t="s">
        <v>15</v>
      </c>
    </row>
    <row r="6" spans="1:17" ht="16.5" thickBot="1" x14ac:dyDescent="0.3">
      <c r="A6" s="107" t="s">
        <v>28</v>
      </c>
      <c r="B6" s="31" t="s">
        <v>17</v>
      </c>
      <c r="C6" s="32">
        <f>C7*1.12</f>
        <v>3542.2630763520006</v>
      </c>
      <c r="D6" s="34">
        <f>C6*1.08</f>
        <v>3825.6441224601608</v>
      </c>
      <c r="E6" s="33">
        <f>D6*1.04</f>
        <v>3978.6698873585674</v>
      </c>
      <c r="F6" s="33">
        <f t="shared" ref="F6:Q7" si="0">E6*1.04</f>
        <v>4137.8166828529102</v>
      </c>
      <c r="G6" s="33">
        <f t="shared" si="0"/>
        <v>4303.3293501670269</v>
      </c>
      <c r="H6" s="33">
        <f>G6*1.04</f>
        <v>4475.4625241737085</v>
      </c>
      <c r="I6" s="33">
        <f t="shared" si="0"/>
        <v>4654.481025140657</v>
      </c>
      <c r="J6" s="33">
        <f t="shared" si="0"/>
        <v>4840.6602661462839</v>
      </c>
      <c r="K6" s="33">
        <f t="shared" si="0"/>
        <v>5034.286676792135</v>
      </c>
      <c r="L6" s="33">
        <f t="shared" si="0"/>
        <v>5235.6581438638204</v>
      </c>
      <c r="M6" s="33">
        <f t="shared" si="0"/>
        <v>5445.0844696183731</v>
      </c>
      <c r="N6" s="33">
        <f t="shared" si="0"/>
        <v>5662.8878484031084</v>
      </c>
      <c r="O6" s="35"/>
      <c r="P6" s="35"/>
      <c r="Q6" s="36"/>
    </row>
    <row r="7" spans="1:17" ht="16.5" thickBot="1" x14ac:dyDescent="0.3">
      <c r="A7" s="106"/>
      <c r="B7" s="37" t="s">
        <v>9</v>
      </c>
      <c r="C7" s="38">
        <f>(2659.28*1.0812)*1.1</f>
        <v>3162.7348896000003</v>
      </c>
      <c r="D7" s="39">
        <f>C7*1.04</f>
        <v>3289.2442851840005</v>
      </c>
      <c r="E7" s="39">
        <f>D7*1.04</f>
        <v>3420.8140565913609</v>
      </c>
      <c r="F7" s="39">
        <f t="shared" si="0"/>
        <v>3557.6466188550153</v>
      </c>
      <c r="G7" s="39">
        <f t="shared" si="0"/>
        <v>3699.952483609216</v>
      </c>
      <c r="H7" s="39">
        <f t="shared" si="0"/>
        <v>3847.9505829535847</v>
      </c>
      <c r="I7" s="39">
        <f t="shared" si="0"/>
        <v>4001.8686062717284</v>
      </c>
      <c r="J7" s="39">
        <f t="shared" si="0"/>
        <v>4161.9433505225979</v>
      </c>
      <c r="K7" s="39">
        <f t="shared" si="0"/>
        <v>4328.4210845435018</v>
      </c>
      <c r="L7" s="39">
        <f t="shared" si="0"/>
        <v>4501.5579279252424</v>
      </c>
      <c r="M7" s="39">
        <f t="shared" si="0"/>
        <v>4681.6202450422525</v>
      </c>
      <c r="N7" s="39">
        <f t="shared" si="0"/>
        <v>4868.8850548439432</v>
      </c>
      <c r="O7" s="39">
        <f t="shared" si="0"/>
        <v>5063.6404570377008</v>
      </c>
      <c r="P7" s="39">
        <f t="shared" si="0"/>
        <v>5266.1860753192086</v>
      </c>
      <c r="Q7" s="40">
        <f t="shared" si="0"/>
        <v>5476.8335183319768</v>
      </c>
    </row>
    <row r="8" spans="1:17" x14ac:dyDescent="0.25">
      <c r="A8" s="106"/>
      <c r="B8" s="185" t="s">
        <v>148</v>
      </c>
      <c r="C8" s="186"/>
      <c r="D8" s="102">
        <v>1.1200000000000001</v>
      </c>
      <c r="E8" s="103">
        <v>1.04</v>
      </c>
      <c r="F8" s="104">
        <v>1.08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s="7" customFormat="1" ht="15.75" thickBot="1" x14ac:dyDescent="0.3">
      <c r="A9" s="124"/>
      <c r="B9" s="43"/>
      <c r="C9" s="43"/>
      <c r="D9" s="89"/>
      <c r="E9" s="89"/>
      <c r="F9" s="89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ht="15.75" thickBot="1" x14ac:dyDescent="0.3">
      <c r="A10" s="106"/>
      <c r="B10" s="85" t="s">
        <v>113</v>
      </c>
      <c r="C10" s="86" t="s">
        <v>30</v>
      </c>
      <c r="D10" s="87" t="s">
        <v>29</v>
      </c>
      <c r="E10" s="87" t="s">
        <v>31</v>
      </c>
      <c r="F10" s="87" t="s">
        <v>32</v>
      </c>
      <c r="G10" s="87" t="s">
        <v>33</v>
      </c>
      <c r="H10" s="87" t="s">
        <v>34</v>
      </c>
      <c r="I10" s="87" t="s">
        <v>35</v>
      </c>
      <c r="J10" s="87" t="s">
        <v>36</v>
      </c>
      <c r="K10" s="87" t="s">
        <v>37</v>
      </c>
      <c r="L10" s="87" t="s">
        <v>38</v>
      </c>
      <c r="M10" s="87" t="s">
        <v>39</v>
      </c>
      <c r="N10" s="87" t="s">
        <v>40</v>
      </c>
      <c r="O10" s="87" t="s">
        <v>41</v>
      </c>
      <c r="P10" s="87" t="s">
        <v>42</v>
      </c>
      <c r="Q10" s="88" t="s">
        <v>43</v>
      </c>
    </row>
    <row r="11" spans="1:17" ht="26.25" thickBot="1" x14ac:dyDescent="0.3">
      <c r="A11" s="106"/>
      <c r="B11" s="101" t="s">
        <v>139</v>
      </c>
      <c r="C11" s="28" t="s">
        <v>1</v>
      </c>
      <c r="D11" s="28" t="s">
        <v>2</v>
      </c>
      <c r="E11" s="28" t="s">
        <v>3</v>
      </c>
      <c r="F11" s="28" t="s">
        <v>4</v>
      </c>
      <c r="G11" s="28" t="s">
        <v>5</v>
      </c>
      <c r="H11" s="29" t="s">
        <v>56</v>
      </c>
      <c r="I11" s="28" t="s">
        <v>7</v>
      </c>
      <c r="J11" s="28" t="s">
        <v>8</v>
      </c>
      <c r="K11" s="28" t="s">
        <v>9</v>
      </c>
      <c r="L11" s="28" t="s">
        <v>10</v>
      </c>
      <c r="M11" s="28" t="s">
        <v>11</v>
      </c>
      <c r="N11" s="28" t="s">
        <v>12</v>
      </c>
      <c r="O11" s="28" t="s">
        <v>13</v>
      </c>
      <c r="P11" s="28" t="s">
        <v>14</v>
      </c>
      <c r="Q11" s="30" t="s">
        <v>15</v>
      </c>
    </row>
    <row r="12" spans="1:17" ht="16.5" thickBot="1" x14ac:dyDescent="0.3">
      <c r="A12" s="107" t="s">
        <v>28</v>
      </c>
      <c r="B12" s="31" t="s">
        <v>17</v>
      </c>
      <c r="C12" s="32">
        <f>C13*1.12</f>
        <v>2022.060931968</v>
      </c>
      <c r="D12" s="34">
        <f>C12*1.08</f>
        <v>2183.8258065254399</v>
      </c>
      <c r="E12" s="33">
        <f>D12*1.04</f>
        <v>2271.1788387864576</v>
      </c>
      <c r="F12" s="33">
        <f t="shared" ref="F12:H13" si="1">E12*1.04</f>
        <v>2362.0259923379158</v>
      </c>
      <c r="G12" s="33">
        <f t="shared" si="1"/>
        <v>2456.5070320314326</v>
      </c>
      <c r="H12" s="33">
        <f>G12*1.04</f>
        <v>2554.76731331269</v>
      </c>
      <c r="I12" s="33">
        <f t="shared" ref="I12:Q13" si="2">H12*1.04</f>
        <v>2656.9580058451979</v>
      </c>
      <c r="J12" s="33">
        <f t="shared" si="2"/>
        <v>2763.2363260790057</v>
      </c>
      <c r="K12" s="33">
        <f t="shared" si="2"/>
        <v>2873.7657791221659</v>
      </c>
      <c r="L12" s="33">
        <f t="shared" si="2"/>
        <v>2988.7164102870524</v>
      </c>
      <c r="M12" s="33">
        <f t="shared" si="2"/>
        <v>3108.2650666985346</v>
      </c>
      <c r="N12" s="33">
        <f t="shared" si="2"/>
        <v>3232.5956693664762</v>
      </c>
      <c r="O12" s="35"/>
      <c r="P12" s="35"/>
      <c r="Q12" s="36"/>
    </row>
    <row r="13" spans="1:17" ht="16.5" thickBot="1" x14ac:dyDescent="0.3">
      <c r="A13" s="106"/>
      <c r="B13" s="37" t="s">
        <v>9</v>
      </c>
      <c r="C13" s="38">
        <f>(1518.02*1.0812)*1.1</f>
        <v>1805.4115463999999</v>
      </c>
      <c r="D13" s="39">
        <f>C13*1.04</f>
        <v>1877.6280082559999</v>
      </c>
      <c r="E13" s="39">
        <f>D13*1.04</f>
        <v>1952.7331285862399</v>
      </c>
      <c r="F13" s="39">
        <f t="shared" si="1"/>
        <v>2030.8424537296896</v>
      </c>
      <c r="G13" s="39">
        <f t="shared" si="1"/>
        <v>2112.0761518788772</v>
      </c>
      <c r="H13" s="39">
        <f t="shared" si="1"/>
        <v>2196.5591979540322</v>
      </c>
      <c r="I13" s="39">
        <f t="shared" si="2"/>
        <v>2284.4215658721937</v>
      </c>
      <c r="J13" s="39">
        <f t="shared" si="2"/>
        <v>2375.7984285070816</v>
      </c>
      <c r="K13" s="39">
        <f t="shared" si="2"/>
        <v>2470.8303656473649</v>
      </c>
      <c r="L13" s="39">
        <f t="shared" si="2"/>
        <v>2569.6635802732594</v>
      </c>
      <c r="M13" s="39">
        <f t="shared" si="2"/>
        <v>2672.45012348419</v>
      </c>
      <c r="N13" s="39">
        <f t="shared" si="2"/>
        <v>2779.3481284235577</v>
      </c>
      <c r="O13" s="39">
        <f t="shared" si="2"/>
        <v>2890.5220535604999</v>
      </c>
      <c r="P13" s="39">
        <f t="shared" si="2"/>
        <v>3006.1429357029201</v>
      </c>
      <c r="Q13" s="40">
        <f t="shared" si="2"/>
        <v>3126.3886531310372</v>
      </c>
    </row>
    <row r="14" spans="1:17" x14ac:dyDescent="0.25">
      <c r="A14" s="106"/>
      <c r="B14" s="185" t="s">
        <v>148</v>
      </c>
      <c r="C14" s="186"/>
      <c r="D14" s="102">
        <v>1.1200000000000001</v>
      </c>
      <c r="E14" s="103">
        <v>1.04</v>
      </c>
      <c r="F14" s="104">
        <v>1.08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15.75" thickBot="1" x14ac:dyDescent="0.3"/>
    <row r="16" spans="1:17" ht="15.75" thickBot="1" x14ac:dyDescent="0.3">
      <c r="A16"/>
      <c r="B16" s="85" t="s">
        <v>113</v>
      </c>
      <c r="C16" s="86" t="s">
        <v>30</v>
      </c>
      <c r="D16" s="87" t="s">
        <v>29</v>
      </c>
      <c r="E16" s="87" t="s">
        <v>31</v>
      </c>
      <c r="F16" s="87" t="s">
        <v>32</v>
      </c>
      <c r="G16" s="87" t="s">
        <v>33</v>
      </c>
      <c r="H16" s="87" t="s">
        <v>34</v>
      </c>
      <c r="I16" s="87" t="s">
        <v>35</v>
      </c>
      <c r="J16" s="87" t="s">
        <v>36</v>
      </c>
      <c r="K16" s="87" t="s">
        <v>37</v>
      </c>
      <c r="L16" s="87" t="s">
        <v>38</v>
      </c>
      <c r="M16" s="87" t="s">
        <v>39</v>
      </c>
      <c r="N16" s="87" t="s">
        <v>40</v>
      </c>
      <c r="O16" s="87" t="s">
        <v>41</v>
      </c>
      <c r="P16" s="87" t="s">
        <v>42</v>
      </c>
      <c r="Q16" s="88" t="s">
        <v>43</v>
      </c>
    </row>
    <row r="17" spans="1:17" ht="16.5" thickBot="1" x14ac:dyDescent="0.3">
      <c r="A17"/>
      <c r="B17" s="101" t="s">
        <v>140</v>
      </c>
      <c r="C17" s="27" t="s">
        <v>1</v>
      </c>
      <c r="D17" s="28" t="s">
        <v>2</v>
      </c>
      <c r="E17" s="28" t="s">
        <v>3</v>
      </c>
      <c r="F17" s="28" t="s">
        <v>4</v>
      </c>
      <c r="G17" s="28" t="s">
        <v>5</v>
      </c>
      <c r="H17" s="29" t="s">
        <v>6</v>
      </c>
      <c r="I17" s="29" t="s">
        <v>7</v>
      </c>
      <c r="J17" s="28" t="s">
        <v>8</v>
      </c>
      <c r="K17" s="28" t="s">
        <v>9</v>
      </c>
      <c r="L17" s="28" t="s">
        <v>10</v>
      </c>
      <c r="M17" s="28" t="s">
        <v>11</v>
      </c>
      <c r="N17" s="28" t="s">
        <v>12</v>
      </c>
      <c r="O17" s="28" t="s">
        <v>13</v>
      </c>
      <c r="P17" s="28" t="s">
        <v>14</v>
      </c>
      <c r="Q17" s="30" t="s">
        <v>15</v>
      </c>
    </row>
    <row r="18" spans="1:17" ht="16.5" thickBot="1" x14ac:dyDescent="0.3">
      <c r="A18" s="107" t="s">
        <v>28</v>
      </c>
      <c r="B18" s="31" t="s">
        <v>17</v>
      </c>
      <c r="C18" s="32">
        <f>C19*1.12</f>
        <v>1329.5741289600003</v>
      </c>
      <c r="D18" s="34">
        <f>C18*1.08</f>
        <v>1435.9400592768004</v>
      </c>
      <c r="E18" s="33">
        <f>D18*1.04</f>
        <v>1493.3776616478724</v>
      </c>
      <c r="F18" s="33">
        <f t="shared" ref="F18:Q19" si="3">E18*1.04</f>
        <v>1553.1127681137873</v>
      </c>
      <c r="G18" s="33">
        <f t="shared" si="3"/>
        <v>1615.2372788383389</v>
      </c>
      <c r="H18" s="33">
        <f>G18*1.04</f>
        <v>1679.8467699918724</v>
      </c>
      <c r="I18" s="33">
        <f t="shared" si="3"/>
        <v>1747.0406407915473</v>
      </c>
      <c r="J18" s="33">
        <f t="shared" si="3"/>
        <v>1816.9222664232093</v>
      </c>
      <c r="K18" s="33">
        <f t="shared" si="3"/>
        <v>1889.5991570801377</v>
      </c>
      <c r="L18" s="33">
        <f t="shared" si="3"/>
        <v>1965.1831233633434</v>
      </c>
      <c r="M18" s="33">
        <f t="shared" si="3"/>
        <v>2043.7904482978772</v>
      </c>
      <c r="N18" s="33">
        <f t="shared" si="3"/>
        <v>2125.5420662297925</v>
      </c>
      <c r="O18" s="41"/>
      <c r="P18" s="35"/>
      <c r="Q18" s="36"/>
    </row>
    <row r="19" spans="1:17" ht="16.5" thickBot="1" x14ac:dyDescent="0.3">
      <c r="A19"/>
      <c r="B19" s="37" t="s">
        <v>9</v>
      </c>
      <c r="C19" s="38">
        <f>(998.15*1.0812)*1.1</f>
        <v>1187.119758</v>
      </c>
      <c r="D19" s="39">
        <f>C19*1.04</f>
        <v>1234.60454832</v>
      </c>
      <c r="E19" s="39">
        <f>D19*1.04</f>
        <v>1283.9887302528</v>
      </c>
      <c r="F19" s="39">
        <f t="shared" si="3"/>
        <v>1335.3482794629119</v>
      </c>
      <c r="G19" s="39">
        <f t="shared" si="3"/>
        <v>1388.7622106414285</v>
      </c>
      <c r="H19" s="39">
        <f t="shared" si="3"/>
        <v>1444.3126990670858</v>
      </c>
      <c r="I19" s="39">
        <f t="shared" si="3"/>
        <v>1502.0852070297692</v>
      </c>
      <c r="J19" s="39">
        <f t="shared" si="3"/>
        <v>1562.1686153109599</v>
      </c>
      <c r="K19" s="39">
        <f t="shared" si="3"/>
        <v>1624.6553599233985</v>
      </c>
      <c r="L19" s="39">
        <f t="shared" si="3"/>
        <v>1689.6415743203345</v>
      </c>
      <c r="M19" s="39">
        <f t="shared" si="3"/>
        <v>1757.2272372931479</v>
      </c>
      <c r="N19" s="39">
        <f t="shared" si="3"/>
        <v>1827.5163267848739</v>
      </c>
      <c r="O19" s="39">
        <f t="shared" si="3"/>
        <v>1900.6169798562689</v>
      </c>
      <c r="P19" s="39">
        <f t="shared" si="3"/>
        <v>1976.6416590505198</v>
      </c>
      <c r="Q19" s="40">
        <f t="shared" si="3"/>
        <v>2055.7073254125407</v>
      </c>
    </row>
    <row r="20" spans="1:17" x14ac:dyDescent="0.25">
      <c r="A20" s="106"/>
      <c r="B20" s="185" t="s">
        <v>148</v>
      </c>
      <c r="C20" s="186"/>
      <c r="D20" s="102">
        <v>1.1200000000000001</v>
      </c>
      <c r="E20" s="103">
        <v>1.04</v>
      </c>
      <c r="F20" s="104">
        <v>1.08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</sheetData>
  <mergeCells count="5">
    <mergeCell ref="B20:C20"/>
    <mergeCell ref="B1:Q1"/>
    <mergeCell ref="B2:Q2"/>
    <mergeCell ref="B14:C14"/>
    <mergeCell ref="B8: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opLeftCell="A4" workbookViewId="0">
      <selection activeCell="C7" sqref="C7"/>
    </sheetView>
  </sheetViews>
  <sheetFormatPr defaultRowHeight="15" x14ac:dyDescent="0.25"/>
  <cols>
    <col min="1" max="1" width="9.140625" style="26"/>
    <col min="2" max="2" width="20.7109375" customWidth="1"/>
    <col min="3" max="3" width="9.140625" customWidth="1"/>
  </cols>
  <sheetData>
    <row r="1" spans="1:17" ht="70.5" customHeight="1" x14ac:dyDescent="0.35">
      <c r="B1" s="139" t="s">
        <v>128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</row>
    <row r="2" spans="1:17" ht="24" customHeight="1" x14ac:dyDescent="0.25">
      <c r="B2" s="187" t="s">
        <v>142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6.75" customHeight="1" thickBot="1" x14ac:dyDescent="0.3"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5.75" thickBot="1" x14ac:dyDescent="0.3">
      <c r="B4" s="85" t="s">
        <v>113</v>
      </c>
      <c r="C4" s="86" t="s">
        <v>30</v>
      </c>
      <c r="D4" s="87" t="s">
        <v>29</v>
      </c>
      <c r="E4" s="87" t="s">
        <v>31</v>
      </c>
      <c r="F4" s="87" t="s">
        <v>32</v>
      </c>
      <c r="G4" s="87" t="s">
        <v>33</v>
      </c>
      <c r="H4" s="87" t="s">
        <v>34</v>
      </c>
      <c r="I4" s="87" t="s">
        <v>35</v>
      </c>
      <c r="J4" s="87" t="s">
        <v>36</v>
      </c>
      <c r="K4" s="87" t="s">
        <v>37</v>
      </c>
      <c r="L4" s="87" t="s">
        <v>38</v>
      </c>
      <c r="M4" s="87" t="s">
        <v>39</v>
      </c>
      <c r="N4" s="87" t="s">
        <v>40</v>
      </c>
      <c r="O4" s="87" t="s">
        <v>41</v>
      </c>
      <c r="P4" s="87" t="s">
        <v>42</v>
      </c>
      <c r="Q4" s="88" t="s">
        <v>43</v>
      </c>
    </row>
    <row r="5" spans="1:17" ht="26.25" thickBot="1" x14ac:dyDescent="0.3">
      <c r="B5" s="101" t="s">
        <v>138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9" t="s">
        <v>56</v>
      </c>
      <c r="I5" s="28" t="s">
        <v>7</v>
      </c>
      <c r="J5" s="28" t="s">
        <v>8</v>
      </c>
      <c r="K5" s="28" t="s">
        <v>9</v>
      </c>
      <c r="L5" s="28" t="s">
        <v>10</v>
      </c>
      <c r="M5" s="28" t="s">
        <v>11</v>
      </c>
      <c r="N5" s="28" t="s">
        <v>12</v>
      </c>
      <c r="O5" s="28" t="s">
        <v>13</v>
      </c>
      <c r="P5" s="28" t="s">
        <v>14</v>
      </c>
      <c r="Q5" s="30" t="s">
        <v>15</v>
      </c>
    </row>
    <row r="6" spans="1:17" ht="16.5" thickBot="1" x14ac:dyDescent="0.3">
      <c r="A6" s="107" t="s">
        <v>28</v>
      </c>
      <c r="B6" s="31" t="s">
        <v>17</v>
      </c>
      <c r="C6" s="32">
        <f>C7*1.12</f>
        <v>3864.2869923840003</v>
      </c>
      <c r="D6" s="34">
        <f>C6*1.08</f>
        <v>4173.4299517747204</v>
      </c>
      <c r="E6" s="33">
        <f>D6*1.04</f>
        <v>4340.3671498457097</v>
      </c>
      <c r="F6" s="33">
        <f t="shared" ref="F6:Q7" si="0">E6*1.04</f>
        <v>4513.9818358395387</v>
      </c>
      <c r="G6" s="33">
        <f t="shared" si="0"/>
        <v>4694.5411092731201</v>
      </c>
      <c r="H6" s="33">
        <f>G6*1.04</f>
        <v>4882.3227536440454</v>
      </c>
      <c r="I6" s="33">
        <f t="shared" si="0"/>
        <v>5077.6156637898075</v>
      </c>
      <c r="J6" s="33">
        <f t="shared" si="0"/>
        <v>5280.7202903414</v>
      </c>
      <c r="K6" s="33">
        <f t="shared" si="0"/>
        <v>5491.949101955056</v>
      </c>
      <c r="L6" s="33">
        <f t="shared" si="0"/>
        <v>5711.6270660332584</v>
      </c>
      <c r="M6" s="33">
        <f t="shared" si="0"/>
        <v>5940.0921486745892</v>
      </c>
      <c r="N6" s="33">
        <f t="shared" si="0"/>
        <v>6177.6958346215733</v>
      </c>
      <c r="O6" s="35"/>
      <c r="P6" s="35"/>
      <c r="Q6" s="36"/>
    </row>
    <row r="7" spans="1:17" ht="16.5" thickBot="1" x14ac:dyDescent="0.3">
      <c r="B7" s="37" t="s">
        <v>9</v>
      </c>
      <c r="C7" s="38">
        <f>(2659.28*1.0812)*1.2</f>
        <v>3450.2562432</v>
      </c>
      <c r="D7" s="39">
        <f>C7*1.04</f>
        <v>3588.2664929279999</v>
      </c>
      <c r="E7" s="39">
        <f>D7*1.04</f>
        <v>3731.7971526451201</v>
      </c>
      <c r="F7" s="39">
        <f t="shared" si="0"/>
        <v>3881.0690387509253</v>
      </c>
      <c r="G7" s="39">
        <f t="shared" si="0"/>
        <v>4036.3118003009627</v>
      </c>
      <c r="H7" s="39">
        <f t="shared" si="0"/>
        <v>4197.7642723130011</v>
      </c>
      <c r="I7" s="39">
        <f t="shared" si="0"/>
        <v>4365.674843205521</v>
      </c>
      <c r="J7" s="39">
        <f t="shared" si="0"/>
        <v>4540.3018369337424</v>
      </c>
      <c r="K7" s="39">
        <f t="shared" si="0"/>
        <v>4721.9139104110918</v>
      </c>
      <c r="L7" s="39">
        <f t="shared" si="0"/>
        <v>4910.790466827536</v>
      </c>
      <c r="M7" s="39">
        <f t="shared" si="0"/>
        <v>5107.2220855006371</v>
      </c>
      <c r="N7" s="39">
        <f t="shared" si="0"/>
        <v>5311.5109689206629</v>
      </c>
      <c r="O7" s="39">
        <f t="shared" si="0"/>
        <v>5523.9714076774899</v>
      </c>
      <c r="P7" s="39">
        <f t="shared" si="0"/>
        <v>5744.9302639845901</v>
      </c>
      <c r="Q7" s="40">
        <f t="shared" si="0"/>
        <v>5974.7274745439736</v>
      </c>
    </row>
    <row r="8" spans="1:17" x14ac:dyDescent="0.25">
      <c r="B8" s="185" t="s">
        <v>148</v>
      </c>
      <c r="C8" s="186"/>
      <c r="D8" s="102">
        <v>1.1200000000000001</v>
      </c>
      <c r="E8" s="103">
        <v>1.04</v>
      </c>
      <c r="F8" s="104">
        <v>1.08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17" s="7" customFormat="1" ht="15.75" thickBot="1" x14ac:dyDescent="0.3">
      <c r="A9" s="117"/>
      <c r="B9" s="43"/>
      <c r="C9" s="43"/>
      <c r="D9" s="89"/>
      <c r="E9" s="89"/>
      <c r="F9" s="89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ht="15.75" thickBot="1" x14ac:dyDescent="0.3">
      <c r="B10" s="85" t="s">
        <v>113</v>
      </c>
      <c r="C10" s="86" t="s">
        <v>30</v>
      </c>
      <c r="D10" s="87" t="s">
        <v>29</v>
      </c>
      <c r="E10" s="87" t="s">
        <v>31</v>
      </c>
      <c r="F10" s="87" t="s">
        <v>32</v>
      </c>
      <c r="G10" s="87" t="s">
        <v>33</v>
      </c>
      <c r="H10" s="87" t="s">
        <v>34</v>
      </c>
      <c r="I10" s="87" t="s">
        <v>35</v>
      </c>
      <c r="J10" s="87" t="s">
        <v>36</v>
      </c>
      <c r="K10" s="87" t="s">
        <v>37</v>
      </c>
      <c r="L10" s="87" t="s">
        <v>38</v>
      </c>
      <c r="M10" s="87" t="s">
        <v>39</v>
      </c>
      <c r="N10" s="87" t="s">
        <v>40</v>
      </c>
      <c r="O10" s="87" t="s">
        <v>41</v>
      </c>
      <c r="P10" s="87" t="s">
        <v>42</v>
      </c>
      <c r="Q10" s="88" t="s">
        <v>43</v>
      </c>
    </row>
    <row r="11" spans="1:17" ht="26.25" thickBot="1" x14ac:dyDescent="0.3">
      <c r="B11" s="101" t="s">
        <v>139</v>
      </c>
      <c r="C11" s="28" t="s">
        <v>1</v>
      </c>
      <c r="D11" s="28" t="s">
        <v>2</v>
      </c>
      <c r="E11" s="28" t="s">
        <v>3</v>
      </c>
      <c r="F11" s="28" t="s">
        <v>4</v>
      </c>
      <c r="G11" s="28" t="s">
        <v>5</v>
      </c>
      <c r="H11" s="29" t="s">
        <v>56</v>
      </c>
      <c r="I11" s="28" t="s">
        <v>7</v>
      </c>
      <c r="J11" s="28" t="s">
        <v>8</v>
      </c>
      <c r="K11" s="28" t="s">
        <v>9</v>
      </c>
      <c r="L11" s="28" t="s">
        <v>10</v>
      </c>
      <c r="M11" s="28" t="s">
        <v>11</v>
      </c>
      <c r="N11" s="28" t="s">
        <v>12</v>
      </c>
      <c r="O11" s="28" t="s">
        <v>13</v>
      </c>
      <c r="P11" s="28" t="s">
        <v>14</v>
      </c>
      <c r="Q11" s="30" t="s">
        <v>15</v>
      </c>
    </row>
    <row r="12" spans="1:17" ht="16.5" thickBot="1" x14ac:dyDescent="0.3">
      <c r="A12" s="107" t="s">
        <v>28</v>
      </c>
      <c r="B12" s="31" t="s">
        <v>17</v>
      </c>
      <c r="C12" s="32">
        <f>C13*1.12</f>
        <v>2205.8846530559999</v>
      </c>
      <c r="D12" s="34">
        <f>C12*1.08</f>
        <v>2382.35542530048</v>
      </c>
      <c r="E12" s="33">
        <f>D12*1.04</f>
        <v>2477.6496423124991</v>
      </c>
      <c r="F12" s="33">
        <f t="shared" ref="F12:H13" si="1">E12*1.04</f>
        <v>2576.7556280049989</v>
      </c>
      <c r="G12" s="33">
        <f t="shared" si="1"/>
        <v>2679.825853125199</v>
      </c>
      <c r="H12" s="33">
        <f>G12*1.04</f>
        <v>2787.0188872502072</v>
      </c>
      <c r="I12" s="33">
        <f t="shared" ref="I12:Q13" si="2">H12*1.04</f>
        <v>2898.4996427402157</v>
      </c>
      <c r="J12" s="33">
        <f t="shared" si="2"/>
        <v>3014.4396284498243</v>
      </c>
      <c r="K12" s="33">
        <f t="shared" si="2"/>
        <v>3135.0172135878174</v>
      </c>
      <c r="L12" s="33">
        <f t="shared" si="2"/>
        <v>3260.4179021313303</v>
      </c>
      <c r="M12" s="33">
        <f t="shared" si="2"/>
        <v>3390.8346182165837</v>
      </c>
      <c r="N12" s="33">
        <f t="shared" si="2"/>
        <v>3526.468002945247</v>
      </c>
      <c r="O12" s="35"/>
      <c r="P12" s="35"/>
      <c r="Q12" s="36"/>
    </row>
    <row r="13" spans="1:17" ht="16.5" thickBot="1" x14ac:dyDescent="0.3">
      <c r="B13" s="37" t="s">
        <v>9</v>
      </c>
      <c r="C13" s="38">
        <f>(1518.02*1.0812)*1.2</f>
        <v>1969.5398687999996</v>
      </c>
      <c r="D13" s="39">
        <f>C13*1.04</f>
        <v>2048.3214635519998</v>
      </c>
      <c r="E13" s="39">
        <f>D13*1.04</f>
        <v>2130.2543220940797</v>
      </c>
      <c r="F13" s="39">
        <f t="shared" si="1"/>
        <v>2215.4644949778431</v>
      </c>
      <c r="G13" s="39">
        <f t="shared" si="1"/>
        <v>2304.0830747769569</v>
      </c>
      <c r="H13" s="39">
        <f t="shared" si="1"/>
        <v>2396.2463977680354</v>
      </c>
      <c r="I13" s="39">
        <f t="shared" si="2"/>
        <v>2492.096253678757</v>
      </c>
      <c r="J13" s="39">
        <f t="shared" si="2"/>
        <v>2591.7801038259072</v>
      </c>
      <c r="K13" s="39">
        <f t="shared" si="2"/>
        <v>2695.4513079789435</v>
      </c>
      <c r="L13" s="39">
        <f t="shared" si="2"/>
        <v>2803.2693602981012</v>
      </c>
      <c r="M13" s="39">
        <f t="shared" si="2"/>
        <v>2915.4001347100252</v>
      </c>
      <c r="N13" s="39">
        <f t="shared" si="2"/>
        <v>3032.0161400984261</v>
      </c>
      <c r="O13" s="39">
        <f t="shared" si="2"/>
        <v>3153.2967857023632</v>
      </c>
      <c r="P13" s="39">
        <f t="shared" si="2"/>
        <v>3279.4286571304579</v>
      </c>
      <c r="Q13" s="40">
        <f t="shared" si="2"/>
        <v>3410.6058034156763</v>
      </c>
    </row>
    <row r="14" spans="1:17" x14ac:dyDescent="0.25">
      <c r="B14" s="185" t="s">
        <v>148</v>
      </c>
      <c r="C14" s="186"/>
      <c r="D14" s="102">
        <v>1.1200000000000001</v>
      </c>
      <c r="E14" s="103">
        <v>1.04</v>
      </c>
      <c r="F14" s="104">
        <v>1.08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</row>
    <row r="15" spans="1:17" ht="15.75" thickBot="1" x14ac:dyDescent="0.3"/>
    <row r="16" spans="1:17" ht="15.75" thickBot="1" x14ac:dyDescent="0.3">
      <c r="B16" s="85" t="s">
        <v>113</v>
      </c>
      <c r="C16" s="86" t="s">
        <v>30</v>
      </c>
      <c r="D16" s="87" t="s">
        <v>29</v>
      </c>
      <c r="E16" s="87" t="s">
        <v>31</v>
      </c>
      <c r="F16" s="87" t="s">
        <v>32</v>
      </c>
      <c r="G16" s="87" t="s">
        <v>33</v>
      </c>
      <c r="H16" s="87" t="s">
        <v>34</v>
      </c>
      <c r="I16" s="87" t="s">
        <v>35</v>
      </c>
      <c r="J16" s="87" t="s">
        <v>36</v>
      </c>
      <c r="K16" s="87" t="s">
        <v>37</v>
      </c>
      <c r="L16" s="87" t="s">
        <v>38</v>
      </c>
      <c r="M16" s="87" t="s">
        <v>39</v>
      </c>
      <c r="N16" s="87" t="s">
        <v>40</v>
      </c>
      <c r="O16" s="87" t="s">
        <v>41</v>
      </c>
      <c r="P16" s="87" t="s">
        <v>42</v>
      </c>
      <c r="Q16" s="88" t="s">
        <v>43</v>
      </c>
    </row>
    <row r="17" spans="1:17" ht="15.75" thickBot="1" x14ac:dyDescent="0.3">
      <c r="B17" s="101" t="s">
        <v>140</v>
      </c>
      <c r="C17" s="28" t="s">
        <v>1</v>
      </c>
      <c r="D17" s="28" t="s">
        <v>2</v>
      </c>
      <c r="E17" s="28" t="s">
        <v>3</v>
      </c>
      <c r="F17" s="28" t="s">
        <v>4</v>
      </c>
      <c r="G17" s="28" t="s">
        <v>5</v>
      </c>
      <c r="H17" s="29" t="s">
        <v>6</v>
      </c>
      <c r="I17" s="28" t="s">
        <v>7</v>
      </c>
      <c r="J17" s="28" t="s">
        <v>8</v>
      </c>
      <c r="K17" s="28" t="s">
        <v>9</v>
      </c>
      <c r="L17" s="28" t="s">
        <v>10</v>
      </c>
      <c r="M17" s="28" t="s">
        <v>11</v>
      </c>
      <c r="N17" s="28" t="s">
        <v>12</v>
      </c>
      <c r="O17" s="28" t="s">
        <v>13</v>
      </c>
      <c r="P17" s="28" t="s">
        <v>14</v>
      </c>
      <c r="Q17" s="30" t="s">
        <v>15</v>
      </c>
    </row>
    <row r="18" spans="1:17" ht="16.5" thickBot="1" x14ac:dyDescent="0.3">
      <c r="A18" s="107" t="s">
        <v>28</v>
      </c>
      <c r="B18" s="31" t="s">
        <v>17</v>
      </c>
      <c r="C18" s="32">
        <f>C19*1.12</f>
        <v>1450.4445043200001</v>
      </c>
      <c r="D18" s="34">
        <f>C18*1.08</f>
        <v>1566.4800646656001</v>
      </c>
      <c r="E18" s="33">
        <f>D18*1.04</f>
        <v>1629.1392672522243</v>
      </c>
      <c r="F18" s="33">
        <f t="shared" ref="F18:Q19" si="3">E18*1.04</f>
        <v>1694.3048379423133</v>
      </c>
      <c r="G18" s="33">
        <f t="shared" si="3"/>
        <v>1762.0770314600059</v>
      </c>
      <c r="H18" s="33">
        <f>G18*1.04</f>
        <v>1832.5601127184061</v>
      </c>
      <c r="I18" s="33">
        <f t="shared" si="3"/>
        <v>1905.8625172271425</v>
      </c>
      <c r="J18" s="33">
        <f t="shared" si="3"/>
        <v>1982.0970179162282</v>
      </c>
      <c r="K18" s="33">
        <f t="shared" si="3"/>
        <v>2061.3808986328772</v>
      </c>
      <c r="L18" s="33">
        <f t="shared" si="3"/>
        <v>2143.8361345781923</v>
      </c>
      <c r="M18" s="33">
        <f t="shared" si="3"/>
        <v>2229.5895799613199</v>
      </c>
      <c r="N18" s="33">
        <f t="shared" si="3"/>
        <v>2318.7731631597726</v>
      </c>
      <c r="O18" s="35"/>
      <c r="P18" s="35"/>
      <c r="Q18" s="36"/>
    </row>
    <row r="19" spans="1:17" ht="16.5" thickBot="1" x14ac:dyDescent="0.3">
      <c r="B19" s="37" t="s">
        <v>9</v>
      </c>
      <c r="C19" s="38">
        <f>(998.15*1.0812)*1.2</f>
        <v>1295.0397359999999</v>
      </c>
      <c r="D19" s="39">
        <f>C19*1.04</f>
        <v>1346.84132544</v>
      </c>
      <c r="E19" s="39">
        <f>D19*1.04</f>
        <v>1400.7149784576</v>
      </c>
      <c r="F19" s="39">
        <f t="shared" si="3"/>
        <v>1456.7435775959041</v>
      </c>
      <c r="G19" s="39">
        <f t="shared" si="3"/>
        <v>1515.0133206997402</v>
      </c>
      <c r="H19" s="39">
        <f t="shared" si="3"/>
        <v>1575.6138535277298</v>
      </c>
      <c r="I19" s="39">
        <f t="shared" si="3"/>
        <v>1638.6384076688391</v>
      </c>
      <c r="J19" s="39">
        <f t="shared" si="3"/>
        <v>1704.1839439755927</v>
      </c>
      <c r="K19" s="39">
        <f t="shared" si="3"/>
        <v>1772.3513017346165</v>
      </c>
      <c r="L19" s="39">
        <f t="shared" si="3"/>
        <v>1843.2453538040013</v>
      </c>
      <c r="M19" s="39">
        <f t="shared" si="3"/>
        <v>1916.9751679561614</v>
      </c>
      <c r="N19" s="39">
        <f t="shared" si="3"/>
        <v>1993.6541746744078</v>
      </c>
      <c r="O19" s="39">
        <f t="shared" si="3"/>
        <v>2073.4003416613841</v>
      </c>
      <c r="P19" s="39">
        <f t="shared" si="3"/>
        <v>2156.3363553278396</v>
      </c>
      <c r="Q19" s="40">
        <f t="shared" si="3"/>
        <v>2242.5898095409534</v>
      </c>
    </row>
    <row r="20" spans="1:17" x14ac:dyDescent="0.25">
      <c r="B20" s="185" t="s">
        <v>148</v>
      </c>
      <c r="C20" s="186"/>
      <c r="D20" s="102">
        <v>1.1200000000000001</v>
      </c>
      <c r="E20" s="103">
        <v>1.04</v>
      </c>
      <c r="F20" s="104">
        <v>1.08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4" spans="1:17" x14ac:dyDescent="0.25">
      <c r="H24" s="105"/>
      <c r="K24" s="105"/>
    </row>
    <row r="25" spans="1:17" x14ac:dyDescent="0.25">
      <c r="H25" s="105"/>
      <c r="K25" s="105"/>
    </row>
  </sheetData>
  <mergeCells count="5">
    <mergeCell ref="B20:C20"/>
    <mergeCell ref="B1:Q1"/>
    <mergeCell ref="B2:Q2"/>
    <mergeCell ref="B8:C8"/>
    <mergeCell ref="B14:C1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0"/>
  <sheetViews>
    <sheetView showGridLines="0" zoomScale="80" zoomScaleNormal="80" workbookViewId="0">
      <selection activeCell="C16" sqref="C16"/>
    </sheetView>
  </sheetViews>
  <sheetFormatPr defaultRowHeight="15" x14ac:dyDescent="0.25"/>
  <cols>
    <col min="2" max="2" width="30.7109375" customWidth="1"/>
    <col min="3" max="3" width="30.85546875" customWidth="1"/>
    <col min="4" max="4" width="18.7109375" customWidth="1"/>
    <col min="5" max="5" width="18.85546875" customWidth="1"/>
  </cols>
  <sheetData>
    <row r="1" spans="2:14" ht="69.95" customHeight="1" x14ac:dyDescent="0.35">
      <c r="B1" s="139" t="s">
        <v>143</v>
      </c>
      <c r="C1" s="139"/>
      <c r="D1" s="139"/>
      <c r="E1" s="139"/>
      <c r="F1" s="81"/>
      <c r="G1" s="81"/>
      <c r="H1" s="81"/>
      <c r="I1" s="81"/>
      <c r="J1" s="81"/>
      <c r="K1" s="81"/>
      <c r="L1" s="81"/>
      <c r="M1" s="81"/>
      <c r="N1" s="81"/>
    </row>
    <row r="2" spans="2:14" s="7" customFormat="1" ht="24.95" customHeight="1" x14ac:dyDescent="0.25">
      <c r="B2" s="188" t="s">
        <v>129</v>
      </c>
      <c r="C2" s="188"/>
      <c r="D2" s="188"/>
      <c r="E2" s="188"/>
    </row>
    <row r="3" spans="2:14" ht="45" customHeight="1" x14ac:dyDescent="0.25">
      <c r="B3" s="65" t="s">
        <v>127</v>
      </c>
      <c r="C3" s="59" t="s">
        <v>163</v>
      </c>
      <c r="D3" s="59" t="s">
        <v>101</v>
      </c>
      <c r="E3" s="59" t="s">
        <v>164</v>
      </c>
    </row>
    <row r="4" spans="2:14" ht="20.100000000000001" customHeight="1" x14ac:dyDescent="0.25">
      <c r="B4" s="64" t="s">
        <v>64</v>
      </c>
      <c r="C4" s="57">
        <f>(1426.27*1.0812)*1.1</f>
        <v>1696.2914364000001</v>
      </c>
      <c r="D4" s="68">
        <v>2.23</v>
      </c>
      <c r="E4" s="57">
        <f>(C16*0.0223)</f>
        <v>270.29198722680002</v>
      </c>
    </row>
    <row r="5" spans="2:14" ht="20.100000000000001" customHeight="1" x14ac:dyDescent="0.25">
      <c r="B5" s="63" t="s">
        <v>66</v>
      </c>
      <c r="C5" s="58">
        <f>(1921.68*1.0812)*1.1</f>
        <v>2285.4924576000003</v>
      </c>
      <c r="D5" s="67">
        <v>3.18</v>
      </c>
      <c r="E5" s="58">
        <f>C16*0.0318</f>
        <v>385.4387979288</v>
      </c>
    </row>
    <row r="6" spans="2:14" ht="20.100000000000001" customHeight="1" x14ac:dyDescent="0.25">
      <c r="B6" s="64" t="s">
        <v>72</v>
      </c>
      <c r="C6" s="57">
        <f>(2401.18*1.0812)*1.1</f>
        <v>2855.7713975999995</v>
      </c>
      <c r="D6" s="68">
        <v>8.9</v>
      </c>
      <c r="E6" s="57">
        <f>C16*0.089</f>
        <v>1078.743805524</v>
      </c>
    </row>
    <row r="7" spans="2:14" ht="20.100000000000001" customHeight="1" x14ac:dyDescent="0.25">
      <c r="B7" s="63" t="s">
        <v>75</v>
      </c>
      <c r="C7" s="58">
        <f>(2924.72*1.0812)*1.1</f>
        <v>3478.4279904</v>
      </c>
      <c r="D7" s="67">
        <v>11.13</v>
      </c>
      <c r="E7" s="58">
        <f>C16*0.1113</f>
        <v>1349.0357927507998</v>
      </c>
    </row>
    <row r="8" spans="2:14" ht="20.100000000000001" customHeight="1" x14ac:dyDescent="0.25">
      <c r="B8" s="64" t="s">
        <v>80</v>
      </c>
      <c r="C8" s="57">
        <f>(3144.01*1.0812)*1.1</f>
        <v>3739.2339732000005</v>
      </c>
      <c r="D8" s="68">
        <v>9.5399999999999991</v>
      </c>
      <c r="E8" s="57">
        <f>C16*0.0954</f>
        <v>1156.3163937863999</v>
      </c>
    </row>
    <row r="9" spans="2:14" ht="20.100000000000001" customHeight="1" x14ac:dyDescent="0.25">
      <c r="B9" s="63" t="s">
        <v>83</v>
      </c>
      <c r="C9" s="58">
        <f>(4333.87*1.0812)*1.1</f>
        <v>5154.3582684000003</v>
      </c>
      <c r="D9" s="67">
        <v>9.5399999999999991</v>
      </c>
      <c r="E9" s="58">
        <f>C16*0.0954</f>
        <v>1156.3163937863999</v>
      </c>
    </row>
    <row r="10" spans="2:14" ht="20.100000000000001" customHeight="1" x14ac:dyDescent="0.25">
      <c r="B10" s="189" t="s">
        <v>86</v>
      </c>
      <c r="C10" s="191">
        <f>(4602.98*1.0812)*1.1</f>
        <v>5474.4161735999996</v>
      </c>
      <c r="D10" s="68">
        <v>11.44</v>
      </c>
      <c r="E10" s="57">
        <f>C16*0.1144</f>
        <v>1386.6100151904</v>
      </c>
    </row>
    <row r="11" spans="2:14" ht="20.100000000000001" customHeight="1" x14ac:dyDescent="0.25">
      <c r="B11" s="190"/>
      <c r="C11" s="192"/>
      <c r="D11" s="68">
        <v>13.98</v>
      </c>
      <c r="E11" s="57">
        <f>C16*0.1398</f>
        <v>1694.4762248567999</v>
      </c>
    </row>
    <row r="12" spans="2:14" ht="20.100000000000001" customHeight="1" x14ac:dyDescent="0.25">
      <c r="B12" s="60" t="s">
        <v>89</v>
      </c>
      <c r="C12" s="58">
        <f>(5009.09*1.0812)*1.1</f>
        <v>5957.4109188000002</v>
      </c>
      <c r="D12" s="58">
        <v>13.98</v>
      </c>
      <c r="E12" s="58">
        <f>C16*0.1398</f>
        <v>1694.4762248567999</v>
      </c>
    </row>
    <row r="13" spans="2:14" ht="20.100000000000001" customHeight="1" x14ac:dyDescent="0.25">
      <c r="B13" s="66" t="s">
        <v>91</v>
      </c>
      <c r="C13" s="68">
        <f>(5995.98*1.0812)*1.1</f>
        <v>7131.1389336000002</v>
      </c>
      <c r="D13" s="68">
        <v>11.13</v>
      </c>
      <c r="E13" s="68">
        <f>C16*0.1113</f>
        <v>1349.0357927507998</v>
      </c>
    </row>
    <row r="14" spans="2:14" ht="20.100000000000001" customHeight="1" x14ac:dyDescent="0.25">
      <c r="B14" s="63" t="s">
        <v>93</v>
      </c>
      <c r="C14" s="58">
        <f>(6463.23*1.0812)*1.1</f>
        <v>7686.8487035999988</v>
      </c>
      <c r="D14" s="67">
        <v>14.62</v>
      </c>
      <c r="E14" s="58">
        <f>C16*0.1462</f>
        <v>1772.0488131191998</v>
      </c>
    </row>
    <row r="15" spans="2:14" ht="20.100000000000001" customHeight="1" x14ac:dyDescent="0.25">
      <c r="B15" s="61" t="s">
        <v>97</v>
      </c>
      <c r="C15" s="57">
        <f>(8568.05*1.0812)*1.1</f>
        <v>10190.153226</v>
      </c>
      <c r="D15" s="57">
        <v>16.850000000000001</v>
      </c>
      <c r="E15" s="57">
        <f>C16*0.1685</f>
        <v>2042.3408003459999</v>
      </c>
    </row>
    <row r="16" spans="2:14" ht="20.100000000000001" customHeight="1" x14ac:dyDescent="0.25">
      <c r="B16" s="60" t="s">
        <v>99</v>
      </c>
      <c r="C16" s="58">
        <f>(10191.3*1.0812)*1.1</f>
        <v>12120.716915999999</v>
      </c>
      <c r="D16" s="58">
        <v>21.3</v>
      </c>
      <c r="E16" s="58">
        <f>C16*0.213</f>
        <v>2581.7127031079999</v>
      </c>
    </row>
    <row r="17" spans="2:5" ht="20.100000000000001" customHeight="1" x14ac:dyDescent="0.25">
      <c r="B17" s="46"/>
      <c r="C17" s="47"/>
      <c r="D17" s="47"/>
      <c r="E17" s="47"/>
    </row>
    <row r="18" spans="2:5" ht="20.100000000000001" customHeight="1" x14ac:dyDescent="0.25">
      <c r="B18" s="46"/>
      <c r="C18" s="47"/>
      <c r="D18" s="47"/>
      <c r="E18" s="47"/>
    </row>
    <row r="19" spans="2:5" ht="20.100000000000001" customHeight="1" x14ac:dyDescent="0.25"/>
    <row r="20" spans="2:5" ht="20.100000000000001" customHeight="1" x14ac:dyDescent="0.25"/>
  </sheetData>
  <mergeCells count="4">
    <mergeCell ref="B1:E1"/>
    <mergeCell ref="B2:E2"/>
    <mergeCell ref="B10:B11"/>
    <mergeCell ref="C10:C11"/>
  </mergeCell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showGridLines="0" zoomScale="80" zoomScaleNormal="80" workbookViewId="0">
      <selection activeCell="H11" sqref="H11"/>
    </sheetView>
  </sheetViews>
  <sheetFormatPr defaultRowHeight="15" x14ac:dyDescent="0.25"/>
  <cols>
    <col min="2" max="3" width="30.7109375" customWidth="1"/>
    <col min="4" max="5" width="18.7109375" customWidth="1"/>
  </cols>
  <sheetData>
    <row r="1" spans="2:14" ht="69.95" customHeight="1" x14ac:dyDescent="0.35">
      <c r="B1" s="139" t="s">
        <v>144</v>
      </c>
      <c r="C1" s="139"/>
      <c r="D1" s="139"/>
      <c r="E1" s="139"/>
      <c r="F1" s="81"/>
      <c r="G1" s="81"/>
      <c r="H1" s="81"/>
      <c r="I1" s="81"/>
      <c r="J1" s="81"/>
      <c r="K1" s="81"/>
      <c r="L1" s="81"/>
      <c r="M1" s="81"/>
      <c r="N1" s="81"/>
    </row>
    <row r="2" spans="2:14" s="7" customFormat="1" ht="24.95" customHeight="1" x14ac:dyDescent="0.25">
      <c r="B2" s="188" t="s">
        <v>131</v>
      </c>
      <c r="C2" s="188"/>
      <c r="D2" s="188"/>
      <c r="E2" s="188"/>
    </row>
    <row r="3" spans="2:14" ht="30" x14ac:dyDescent="0.25">
      <c r="B3" s="65" t="s">
        <v>130</v>
      </c>
      <c r="C3" s="48" t="s">
        <v>102</v>
      </c>
      <c r="D3" s="53" t="s">
        <v>101</v>
      </c>
      <c r="E3" s="48" t="s">
        <v>103</v>
      </c>
    </row>
    <row r="4" spans="2:14" ht="20.100000000000001" customHeight="1" x14ac:dyDescent="0.25">
      <c r="B4" s="64" t="s">
        <v>64</v>
      </c>
      <c r="C4" s="57">
        <f>(1426.27*1.0812)*1.2</f>
        <v>1850.4997487999999</v>
      </c>
      <c r="D4" s="68">
        <v>2.23</v>
      </c>
      <c r="E4" s="57">
        <f>(C16*0.0223)</f>
        <v>294.86398606559993</v>
      </c>
    </row>
    <row r="5" spans="2:14" ht="20.100000000000001" customHeight="1" x14ac:dyDescent="0.25">
      <c r="B5" s="63" t="s">
        <v>66</v>
      </c>
      <c r="C5" s="58">
        <f>(1921.68*1.0812)*1.2</f>
        <v>2493.2644992</v>
      </c>
      <c r="D5" s="67">
        <v>3.18</v>
      </c>
      <c r="E5" s="58">
        <f>C16*0.0318</f>
        <v>420.47868864959997</v>
      </c>
    </row>
    <row r="6" spans="2:14" ht="20.100000000000001" customHeight="1" x14ac:dyDescent="0.25">
      <c r="B6" s="64" t="s">
        <v>72</v>
      </c>
      <c r="C6" s="57">
        <f>(2401.18*1.0812)*1.2</f>
        <v>3115.3869791999991</v>
      </c>
      <c r="D6" s="68">
        <v>8.9</v>
      </c>
      <c r="E6" s="57">
        <f>C16*0.089</f>
        <v>1176.8114242079998</v>
      </c>
    </row>
    <row r="7" spans="2:14" ht="20.100000000000001" customHeight="1" x14ac:dyDescent="0.25">
      <c r="B7" s="63" t="s">
        <v>75</v>
      </c>
      <c r="C7" s="58">
        <f>(2924.72*1.0812)*1.2</f>
        <v>3794.6487167999994</v>
      </c>
      <c r="D7" s="67">
        <v>11.13</v>
      </c>
      <c r="E7" s="58">
        <f>C16*0.1113</f>
        <v>1471.6754102735997</v>
      </c>
    </row>
    <row r="8" spans="2:14" ht="20.100000000000001" customHeight="1" x14ac:dyDescent="0.25">
      <c r="B8" s="64" t="s">
        <v>80</v>
      </c>
      <c r="C8" s="57">
        <f>(3144.01*1.0812)*1.2</f>
        <v>4079.1643343999999</v>
      </c>
      <c r="D8" s="68">
        <v>9.5399999999999991</v>
      </c>
      <c r="E8" s="57">
        <f>C16*0.0954</f>
        <v>1261.4360659487998</v>
      </c>
    </row>
    <row r="9" spans="2:14" ht="20.100000000000001" customHeight="1" x14ac:dyDescent="0.25">
      <c r="B9" s="63" t="s">
        <v>83</v>
      </c>
      <c r="C9" s="58">
        <f>(4333.87*1.0812)*1.2</f>
        <v>5622.9362927999991</v>
      </c>
      <c r="D9" s="67">
        <v>9.5399999999999991</v>
      </c>
      <c r="E9" s="58">
        <f>C16*0.0954</f>
        <v>1261.4360659487998</v>
      </c>
    </row>
    <row r="10" spans="2:14" ht="20.100000000000001" customHeight="1" x14ac:dyDescent="0.25">
      <c r="B10" s="189" t="s">
        <v>86</v>
      </c>
      <c r="C10" s="191">
        <f>(4602.98*1.0812)*1.2</f>
        <v>5972.090371199999</v>
      </c>
      <c r="D10" s="68">
        <v>11.44</v>
      </c>
      <c r="E10" s="57">
        <f>C16*0.1144</f>
        <v>1512.6654711167998</v>
      </c>
    </row>
    <row r="11" spans="2:14" ht="20.100000000000001" customHeight="1" x14ac:dyDescent="0.25">
      <c r="B11" s="190"/>
      <c r="C11" s="192"/>
      <c r="D11" s="68">
        <v>13.98</v>
      </c>
      <c r="E11" s="57">
        <f>C16*0.1398</f>
        <v>1848.5195180255998</v>
      </c>
    </row>
    <row r="12" spans="2:14" ht="20.100000000000001" customHeight="1" x14ac:dyDescent="0.25">
      <c r="B12" s="44" t="s">
        <v>89</v>
      </c>
      <c r="C12" s="58">
        <f>(5009.09*1.0812)*1.2</f>
        <v>6498.9937295999998</v>
      </c>
      <c r="D12" s="58">
        <v>13.98</v>
      </c>
      <c r="E12" s="58">
        <f>C16*0.1398</f>
        <v>1848.5195180255998</v>
      </c>
    </row>
    <row r="13" spans="2:14" ht="20.100000000000001" customHeight="1" x14ac:dyDescent="0.25">
      <c r="B13" s="66" t="s">
        <v>91</v>
      </c>
      <c r="C13" s="68">
        <f>(5995.98*1.0812)*1.2</f>
        <v>7779.4242911999991</v>
      </c>
      <c r="D13" s="68">
        <v>11.13</v>
      </c>
      <c r="E13" s="68">
        <f>C16*0.1113</f>
        <v>1471.6754102735997</v>
      </c>
    </row>
    <row r="14" spans="2:14" ht="20.100000000000001" customHeight="1" x14ac:dyDescent="0.25">
      <c r="B14" s="63" t="s">
        <v>93</v>
      </c>
      <c r="C14" s="58">
        <f>(6463.23*1.0812)*1.2</f>
        <v>8385.6531311999988</v>
      </c>
      <c r="D14" s="67">
        <v>14.62</v>
      </c>
      <c r="E14" s="58">
        <f>C16*0.1462</f>
        <v>1933.1441597663998</v>
      </c>
    </row>
    <row r="15" spans="2:14" ht="20.100000000000001" customHeight="1" x14ac:dyDescent="0.25">
      <c r="B15" s="49" t="s">
        <v>97</v>
      </c>
      <c r="C15" s="57">
        <f>(8568.05*1.0812)*1.2</f>
        <v>11116.530792</v>
      </c>
      <c r="D15" s="57">
        <v>16.850000000000001</v>
      </c>
      <c r="E15" s="57">
        <f>C16*0.1685</f>
        <v>2228.0081458319996</v>
      </c>
    </row>
    <row r="16" spans="2:14" ht="20.100000000000001" customHeight="1" x14ac:dyDescent="0.25">
      <c r="B16" s="44" t="s">
        <v>99</v>
      </c>
      <c r="C16" s="58">
        <f>(10191.3*1.0812)*1.2</f>
        <v>13222.600271999998</v>
      </c>
      <c r="D16" s="58">
        <v>21.3</v>
      </c>
      <c r="E16" s="58">
        <f>C16*0.213</f>
        <v>2816.4138579359997</v>
      </c>
    </row>
    <row r="17" spans="2:5" ht="20.100000000000001" customHeight="1" x14ac:dyDescent="0.25">
      <c r="B17" s="46"/>
      <c r="C17" s="47"/>
      <c r="D17" s="47"/>
      <c r="E17" s="47"/>
    </row>
    <row r="18" spans="2:5" ht="15" customHeight="1" x14ac:dyDescent="0.25">
      <c r="B18" s="46"/>
      <c r="C18" s="47"/>
      <c r="D18" s="47"/>
      <c r="E18" s="47"/>
    </row>
  </sheetData>
  <mergeCells count="4">
    <mergeCell ref="B1:E1"/>
    <mergeCell ref="B2:E2"/>
    <mergeCell ref="B10:B11"/>
    <mergeCell ref="C10:C1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15</vt:i4>
      </vt:variant>
      <vt:variant>
        <vt:lpstr>Intervalos nomeados</vt:lpstr>
      </vt:variant>
      <vt:variant>
        <vt:i4>13</vt:i4>
      </vt:variant>
    </vt:vector>
  </HeadingPairs>
  <TitlesOfParts>
    <vt:vector size="28" baseType="lpstr">
      <vt:lpstr>FATEC</vt:lpstr>
      <vt:lpstr>ETEC</vt:lpstr>
      <vt:lpstr>AUXILIAR DOCENTE</vt:lpstr>
      <vt:lpstr>ADMINISTRATIVO_1ªFASE</vt:lpstr>
      <vt:lpstr>ADMINISTRATIVO_2ªFASE</vt:lpstr>
      <vt:lpstr>SAÚDE_1ªFASE</vt:lpstr>
      <vt:lpstr>SAÚDE_2ª FASE</vt:lpstr>
      <vt:lpstr>CONFIANÇA_1ªFASE</vt:lpstr>
      <vt:lpstr>CONFIANÇA_2ªFASE</vt:lpstr>
      <vt:lpstr>DENOMINAÇÃO_EPP</vt:lpstr>
      <vt:lpstr>DENOMINAÇÃO_EPC</vt:lpstr>
      <vt:lpstr>EXTINÇÃO</vt:lpstr>
      <vt:lpstr>EXTINÇÃO_CARREIRA</vt:lpstr>
      <vt:lpstr>QUANTITATIVO_EPP</vt:lpstr>
      <vt:lpstr>QUANTITATIVO_EPC</vt:lpstr>
      <vt:lpstr>ADMINISTRATIVO_1ªFASE!Area_de_impressao</vt:lpstr>
      <vt:lpstr>ADMINISTRATIVO_2ªFASE!Area_de_impressao</vt:lpstr>
      <vt:lpstr>'AUXILIAR DOCENTE'!Area_de_impressao</vt:lpstr>
      <vt:lpstr>CONFIANÇA_1ªFASE!Area_de_impressao</vt:lpstr>
      <vt:lpstr>CONFIANÇA_2ªFASE!Area_de_impressao</vt:lpstr>
      <vt:lpstr>DENOMINAÇÃO_EPC!Area_de_impressao</vt:lpstr>
      <vt:lpstr>DENOMINAÇÃO_EPP!Area_de_impressao</vt:lpstr>
      <vt:lpstr>ETEC!Area_de_impressao</vt:lpstr>
      <vt:lpstr>EXTINÇÃO!Area_de_impressao</vt:lpstr>
      <vt:lpstr>EXTINÇÃO_CARREIRA!Area_de_impressao</vt:lpstr>
      <vt:lpstr>FATEC!Area_de_impressao</vt:lpstr>
      <vt:lpstr>QUANTITATIVO_EPC!Area_de_impressao</vt:lpstr>
      <vt:lpstr>QUANTITATIVO_EPP!Area_de_impressao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Dulcilene Xavier</dc:creator>
  <cp:lastModifiedBy>Dulcilene Xavier</cp:lastModifiedBy>
  <cp:lastPrinted>2013-06-26T20:37:03Z</cp:lastPrinted>
  <dcterms:created xsi:type="dcterms:W3CDTF">2013-05-17T21:19:15Z</dcterms:created>
  <dcterms:modified xsi:type="dcterms:W3CDTF">2013-07-17T14:08:29Z</dcterms:modified>
</cp:coreProperties>
</file>